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workbookProtection lockStructure="1"/>
  <bookViews>
    <workbookView xWindow="28680" yWindow="65416" windowWidth="29040" windowHeight="15840" activeTab="1"/>
  </bookViews>
  <sheets>
    <sheet name="FOGLIO CALCOLI" sheetId="1" r:id="rId1"/>
    <sheet name="RINNOVO FASE 3" sheetId="2" r:id="rId2"/>
    <sheet name="ARCHIVIO" sheetId="3" state="hidden" r:id="rId3"/>
    <sheet name="PARAMETRI ATTIVITA" sheetId="4" state="hidden" r:id="rId4"/>
    <sheet name="PARAMETRI ATTIVITA (2)" sheetId="5" state="hidden" r:id="rId5"/>
    <sheet name="Foglio1" sheetId="6" state="hidden" r:id="rId6"/>
    <sheet name="FOGLIO CALCOLI (2)" sheetId="7" state="hidden" r:id="rId7"/>
  </sheets>
  <definedNames>
    <definedName name="_xlnm.Print_Area" localSheetId="4">'PARAMETRI ATTIVITA (2)'!$A$1:$L$112</definedName>
    <definedName name="codAtt" localSheetId="4">'PARAMETRI ATTIVITA (2)'!$A$3:$A$137</definedName>
    <definedName name="codAtt">'PARAMETRI ATTIVITA'!$A$2:$A$139</definedName>
    <definedName name="ETAB2">'PARAMETRI ATTIVITA (2)'!$A$3:$B$112</definedName>
    <definedName name="PARG">'FOGLIO CALCOLI'!$AI$7</definedName>
    <definedName name="PARHF1">'FOGLIO CALCOLI'!$AI$9</definedName>
    <definedName name="PARHF2">'FOGLIO CALCOLI'!$AI$10</definedName>
    <definedName name="ParX" localSheetId="4">'PARAMETRI ATTIVITA (2)'!$I$3:$J$137</definedName>
    <definedName name="ParX">'PARAMETRI ATTIVITA'!$G$2:$H$139</definedName>
    <definedName name="PARY" localSheetId="4">'PARAMETRI ATTIVITA (2)'!$K$3:$L$137</definedName>
    <definedName name="PARY">'PARAMETRI ATTIVITA'!$I$2:$J$139</definedName>
    <definedName name="TabAtt" localSheetId="4">'PARAMETRI ATTIVITA (2)'!$A$3:$P$137</definedName>
    <definedName name="TabAtt">'PARAMETRI ATTIVITA'!$A$2:$N$139</definedName>
    <definedName name="_xlnm.Print_Titles" localSheetId="4">'PARAMETRI ATTIVITA (2)'!$1:$2</definedName>
    <definedName name="UnMis" localSheetId="4">'PARAMETRI ATTIVITA (2)'!$D$3:$L$137</definedName>
    <definedName name="UnMis">'PARAMETRI ATTIVITA'!$D$2:$L$139</definedName>
  </definedNames>
  <calcPr fullCalcOnLoad="1"/>
</workbook>
</file>

<file path=xl/sharedStrings.xml><?xml version="1.0" encoding="utf-8"?>
<sst xmlns="http://schemas.openxmlformats.org/spreadsheetml/2006/main" count="1232" uniqueCount="391">
  <si>
    <t>Y</t>
  </si>
  <si>
    <t>X</t>
  </si>
  <si>
    <t>N. Att</t>
  </si>
  <si>
    <t>Descrizione</t>
  </si>
  <si>
    <t>Direttiva Seveso</t>
  </si>
  <si>
    <t>Infiammabile</t>
  </si>
  <si>
    <t>Comburente</t>
  </si>
  <si>
    <t>SEL Y</t>
  </si>
  <si>
    <t>SEL X</t>
  </si>
  <si>
    <t>Non Direttiva Seveso</t>
  </si>
  <si>
    <t>Attività</t>
  </si>
  <si>
    <t>SottoTipo</t>
  </si>
  <si>
    <t>Sottotipo</t>
  </si>
  <si>
    <t>RifRiga</t>
  </si>
  <si>
    <t>Un.Mis</t>
  </si>
  <si>
    <t>Descr. X</t>
  </si>
  <si>
    <t>Descr. Y</t>
  </si>
  <si>
    <t>rif.RigaIn</t>
  </si>
  <si>
    <t>Rif.RigaFin</t>
  </si>
  <si>
    <t>Ind.Sottotipo</t>
  </si>
  <si>
    <t>=SCARTO("D" &amp; $V2 ;0;0;$W$2)</t>
  </si>
  <si>
    <t>=SCARTO(INDIRETTO($X$2);0;0;$I$14)</t>
  </si>
  <si>
    <t>Fatt. Corr</t>
  </si>
  <si>
    <t>Par.Agg1</t>
  </si>
  <si>
    <t>Par.X</t>
  </si>
  <si>
    <t>Par.Agg2</t>
  </si>
  <si>
    <t>Par.Y</t>
  </si>
  <si>
    <t>Totale</t>
  </si>
  <si>
    <t>Stabilimenti ed impianti ove si producono e/o impiegano gas infiammabili e/o comburenti con quantità globali in ciclo superiori a 25 Nm3/h</t>
  </si>
  <si>
    <t>Impianti di compressione o di decompressione dei gas infiammabili e/o comburenti con potenzialità superiore a 50 Nm3/h, con esclusione dei sistemi di riduzione del gas naturale inseriti nelle reti di distribuzione con pressione di esercizio non superiore a 0,5 MPa</t>
  </si>
  <si>
    <t>Impianti di riempimento, depositi, rivendite di gas infiammabili in recipienti mobili: compressi con capacità geometrica complessiva superiore o uguale a 0,75 m3; disciolti o liquefatti per quantitativi in massa complessivi superiori o uguali a 75 kg</t>
  </si>
  <si>
    <t>Limite</t>
  </si>
  <si>
    <t>Eccedenza</t>
  </si>
  <si>
    <t>Solo Deposito</t>
  </si>
  <si>
    <t>Deposito e rivendita</t>
  </si>
  <si>
    <t>Depositi di gas infiammabili in serbatoi fissi: compressi per capacità geometrica complessiva superiore o uguale a 0, 75 m3; disciolti o liquefatti per capacità geometrica complessiva superiore o uguale a 0,3 m3</t>
  </si>
  <si>
    <t>Depositi di gas comburenti compressi e/o liquefatti in serbatoi fissi e/o recipienti mobili per capacità geometrica complessiva superiore o uguale a 3 m3</t>
  </si>
  <si>
    <t>Non Def.</t>
  </si>
  <si>
    <t>Reti di trasporto e di distribuzione di gas infiammabili, compresi quelli di origine petrolifera o chimica, con esclusione delle reti di distribuzione e dei relativi impianti con pressione di esercizio non superiore a 0,5 Mpa</t>
  </si>
  <si>
    <t>Colonnine</t>
  </si>
  <si>
    <t>n</t>
  </si>
  <si>
    <t>Capacità</t>
  </si>
  <si>
    <t>Centrali di produzione di idrocarburi liquidi e gassosi e di stoccaggio sotterraneo di gas naturale, piattaforme fisse e strutture fisse assimilabili, di perforazione e/o produzione di idrocarburi di cui al decreto del Presidente della Repubblica 24 maggio 1979, n. 886 ed al decreto legislativo 25 novembre 1996, n. 624</t>
  </si>
  <si>
    <t>Superficie?</t>
  </si>
  <si>
    <t>m²</t>
  </si>
  <si>
    <t>Oleodotti con diametro superiore a 100 mm</t>
  </si>
  <si>
    <t>Officine e laboratori con saldatura e taglio dei metalli utilizzanti gas infiammabili e/o comburenti, con oltre 5 addetti alla mansione specifica di saldatura o taglio</t>
  </si>
  <si>
    <t>Superficie</t>
  </si>
  <si>
    <t>m</t>
  </si>
  <si>
    <t>Stabilimenti ed impianti ove si producono e/o impiegano, liquidi infiammabili e/o combustibili con punto di infiammabilità fino a 125 °C, con quantitativi globali in ciclo e/o in deposito superiori a 1 m3</t>
  </si>
  <si>
    <t>Stabilimenti ed impianti per la preparazione di oli lubrificanti, oli diatermici e simili, con punto di infiammabilità superiore a 125 °C, con quantitativi globali in ciclo e/o in deposito superiori a 5 m3</t>
  </si>
  <si>
    <t>Combustibile</t>
  </si>
  <si>
    <t>Depositi e/o rivendite di liquidi infiammabili e/o combustibili e/o oli lubrificanti, diatermici, di qualsiasi derivazione, di capacità geometrica complessiva superiore a 1 m3</t>
  </si>
  <si>
    <t>Volume</t>
  </si>
  <si>
    <t>m³</t>
  </si>
  <si>
    <t>Solo deposito</t>
  </si>
  <si>
    <t>Dep. + rivendita</t>
  </si>
  <si>
    <t>Impianti fissi di distribuzione carburanti per l'autotrazione, la nautica e l'aeronautica; contenitori - distributori rimovibili di carburanti liquidi: Impianti di distribuzione carburanti liquidi;  Impianti fissi di distribuzione carburanti gassosi e di tipo misto (liquidi e gassosi).</t>
  </si>
  <si>
    <t>Solo Liquidi</t>
  </si>
  <si>
    <t>Liquidi e Gas</t>
  </si>
  <si>
    <t>Officine o laboratori per la verniciatura con vernici infiammabili e/o combustibili con oltre 5 addetti.</t>
  </si>
  <si>
    <t>Stabilimenti di estrazione con solventi infiammabili e raffinazione di oli e grassi vegetali ed animali, con quantitativi globali di solventi in ciclo e/o in deposito superiori a 0,5 m3</t>
  </si>
  <si>
    <t>Depositi e/o rivendite di alcoli con concentrazione superiore al 60% in volume di capacità geometrica superiore a 1 m3</t>
  </si>
  <si>
    <t>Stabilimenti ed impianti ove si producono, impiegano o detengono sostanze esplodenti classificate come tali dal regolamento di esecuzione del testo unico delle leggi di pubblica sicurezza approvato con regio decreto 6 maggio 1940, n. 635, e successive modificazioni ed integrazioni</t>
  </si>
  <si>
    <t>Esercizi di minuta vendita e/o depositi di sostanze esplodenti classificate come tali dal regolamento di esecuzione del testo unico delle leggi di pubblica sicurezza approvato con regio decreto 6 maggio 1940, n. 635, e successive modificazioni ed integrazioni. Esercizi di vendita di artifici pirotecnici declassificati in "libera vendita" con quantitativi complessivi in vendita e/o deposito superiori a 500 kg, comprensivi degli imballaggi;</t>
  </si>
  <si>
    <t>Libera vendita</t>
  </si>
  <si>
    <t>Non Libera vend.</t>
  </si>
  <si>
    <t>Stabilimenti ed impianti ove si producono, impiegano o detengono sostanze instabili che possono dar luogo da sole a reazioni pericolose in presenza o non di catalizzatori ivi compresi i perossidi organici</t>
  </si>
  <si>
    <t>Potremmo mettere i Kg invece della superficie?</t>
  </si>
  <si>
    <t>Stabilimenti ed impianti ove si producono, impiegano o detengono nitrati di ammonio, di metalli alcalini e alcolino-terrosi, nitrato di piombo e perossidi inorganici</t>
  </si>
  <si>
    <t>Stabilimenti ed impianti ove si producono, impiegano o detengono sostanze soggette all'accensione spontanea e/o sostanze che a contatto con l'acqua sviluppano gas infiammabili</t>
  </si>
  <si>
    <t>Stabilimenti ed impianti ove si produce acqua ossigenata con concentrazione superiore al 60% di perossido di idrogeno</t>
  </si>
  <si>
    <t>Potremmo mettere i m³ invece della superficie?</t>
  </si>
  <si>
    <t>Stabilimenti ed impianti per la macinazione e la raffinazione dello zolfo; depositi di zolfo con potenzialità superiore a 10.000 kg</t>
  </si>
  <si>
    <t>Stabilimenti ed impianti ove si produce, impiega e/o detiene fosforo e/o sesquisolfuro di fosforo</t>
  </si>
  <si>
    <t>Fabbriche di fiammiferi; depositi di fiammiferi con quantitativi in massa superiori a 500 kg</t>
  </si>
  <si>
    <t>Mulini per cereali ed altre macinazioni con potenzialità giornaliera superiore a 20.000 kg; Depositi di cereali e di altre macinazioni con quantitativi in massa superiori a 50.000 kg</t>
  </si>
  <si>
    <t>PAR X</t>
  </si>
  <si>
    <t>PAR Y</t>
  </si>
  <si>
    <t>Fat. Corr (K)</t>
  </si>
  <si>
    <t>Dep. + mulino</t>
  </si>
  <si>
    <t>Deposito solamente</t>
  </si>
  <si>
    <t>Y = (2Q-20)/Q [curva asintotica verso 2]</t>
  </si>
  <si>
    <t>Note =</t>
  </si>
  <si>
    <t>Impianti per l'essiccazione di cereali e di vegetali in genere con depositi di prodotto essiccato con quantitativi in massa superiori a 50.000 kg</t>
  </si>
  <si>
    <t>Y = (2Q-50)/Q [curva asintotica verso 2]</t>
  </si>
  <si>
    <t>Stabilimenti ove si producono surrogati del caff</t>
  </si>
  <si>
    <t>Zuccherifici e raffinerie dello zucchero</t>
  </si>
  <si>
    <t>Pastifici e/o riserie con produzione giornaliera superiore a 50.000 kg</t>
  </si>
  <si>
    <t>Stabilimenti ed impianti ove si lavora e/o detiene foglia di tabacco con processi di essiccazione con oltre 100 addetti o con quantitativi globali in ciclo e/o in deposito superiori a 50.000 kg</t>
  </si>
  <si>
    <t>Stabilimenti ed impianti per la produzione della carta e dei cartoni e di allestimento di prodotti cartotecnici in genere con oltre 25 addetti o con materiale in lavorazione e/o in deposito superiore a 50.000 kg</t>
  </si>
  <si>
    <t>Deposito di carta</t>
  </si>
  <si>
    <t>Dep. + stabilimento</t>
  </si>
  <si>
    <t>Depositi di carta, cartoni e prodotti cartotecnici, archivi di materiale cartaceo, biblioteche, depositi per la cernita della carta usata, di stracci di cascami e di fibre tessili per l'industria della carta, con quantitativi in massa superiori a 5.000 kg</t>
  </si>
  <si>
    <t>Stabilimenti, impianti, depositi ove si producono, impiegano e/o detengono carte fotografiche, calcografiche, eliografiche e cianografiche, pellicole cinematografiche, radiografiche e fotografiche con materiale in lavorazione e/o in deposito superiore a 5.000 kg</t>
  </si>
  <si>
    <t>Y = (2Q-5)/Q [curva asintotica verso 2]</t>
  </si>
  <si>
    <t>Dep+ Impianto</t>
  </si>
  <si>
    <t>Depositi di legnami da costruzione e da lavorazione, di legna da ardere, di paglia, di fieno, di canne, di fascine, di carbone vegetale e minerale, di carbonella, di sughero e di altri prodotti affini con quantitativi in massa superiori a 50.000 kg con esclusione dei depositi all'aperto con distanze di sicurezza esterne superiori a 100 m</t>
  </si>
  <si>
    <t>Stabilimenti e laboratori per la lavorazione del legno con materiale in lavorazione e/o in deposito superiore a 5.000 kg</t>
  </si>
  <si>
    <t>Dep + Laboratorio</t>
  </si>
  <si>
    <t>Stabilimenti ed impianti ove si producono, lavorano e/o detengono fibre tessili e tessuti naturali e artificiali, tele cerate, linoleum e altri prodotti affini, con quantitativi in massa superiori a 5.000 kg</t>
  </si>
  <si>
    <t>Dep + Stabilimento</t>
  </si>
  <si>
    <t>Stabilimenti per la produzione di arredi, di abbigliamento, della lavorazione della pelle e calzaturifici, con oltre 25 addetti</t>
  </si>
  <si>
    <t>Stabilimenti ed impianti per la preparazione del crine vegetale, della trebbia e simili, lavorazione della paglia, dello sparto e simili, lavorazione del sughero, con quantitativi in massa in lavorazione o in deposito superiori a 5.000 kg</t>
  </si>
  <si>
    <t>Teatri e studi per le riprese cinematografiche e televisive</t>
  </si>
  <si>
    <t xml:space="preserve"> Laboratori per la realizzazione di attrezzerie e scenografie, compresi i relativi depositi, di superficie complessiva superiore a 200 m2</t>
  </si>
  <si>
    <t>Stabilimenti ed impianti per la produzione, lavorazione e rigenerazione della gomma e/o laboratori di vulcanizzazione di oggetti di gomma, con quantitativi in massa superiori a 5.000 kg;  Depositi di prodotti della gomma, pneumatici e simili, con quantitativi in massa superiori a 10.000 kg</t>
  </si>
  <si>
    <t>Stabilimenti, impianti, depositi ove si producono, lavorano e/o detengono materie plastiche, con quantitativi in massa superiori a 5.000 kg</t>
  </si>
  <si>
    <t>Stabilimenti ed impianti ove si producono e lavorano resine sintetiche e naturali, fitofarmaci, coloranti organici e intermedi e prodotti farmaceutici con l'impiego di solventi ed altri prodotti infiammabili</t>
  </si>
  <si>
    <t>Depositi di fitofarmaci e/o di concimi chimici a base di nitrati e/o fosfati con quantitativi in massa superiori a 50.000 kg</t>
  </si>
  <si>
    <t>Stabilimenti ed impianti per la fabbricazione di cavi e conduttori elettrici isolati, con quantitativi in lavorazione e/o in deposito superiori a 10.000 kg; Depositi e/o rivendite di cavi elettrici isolati con quantitativi superiori a 10.000 kg</t>
  </si>
  <si>
    <t>Dep + impianto</t>
  </si>
  <si>
    <t>Y = (2Q-10)/Q [curva asintotica verso 2]</t>
  </si>
  <si>
    <t>Centrali termoelettriche, macchine elettriche fisse con presenza di liquidi isolanti combustibili in quantitativi superiori a 1 m³</t>
  </si>
  <si>
    <t xml:space="preserve">Potenza </t>
  </si>
  <si>
    <t>MW</t>
  </si>
  <si>
    <t>Gruppi per la produzione di energia elettrica sussidiaria con motori endotermici ed impianti di cogenerazione di potenza complessiva superiore a 25 kW</t>
  </si>
  <si>
    <t>kW</t>
  </si>
  <si>
    <t>Isolato o all'esterno</t>
  </si>
  <si>
    <t>In edificio</t>
  </si>
  <si>
    <t>Stabilimenti ed impianti ove si producono lampade elettriche e simili, pile ed accumulatori elettrici e simili, con oltre 5 addetti</t>
  </si>
  <si>
    <t>Stabilimenti siderurgici e per la produzione di altri metalli con oltre 5 addetti; attività comportanti lavorazioni a caldo di metalli con oltre 5 addetti ad esclusione dei laboratori artigiani di oreficeria ed argenteria fino a 25 addetti</t>
  </si>
  <si>
    <t>Stabilimenti, con oltre 5 addetti, per la costruzione di aeromobili, veicoli a motore, materiale rotabile ferroviario e tramviario, carrozzerie e rimorchi per autoveicoli; cantieri navali con oltre 5 addetti</t>
  </si>
  <si>
    <t>Officine per la riparazione di: veicoli a motore, rimorchi per autoveicoli e carrozzerie, di superficie coperta superiore a 300 m2; materiale rotabile tramviario e di aeromobili, di superficie coperta superiore a 1000 m2</t>
  </si>
  <si>
    <t>Solo Veicoli a motore</t>
  </si>
  <si>
    <t>Aeromobili o treni</t>
  </si>
  <si>
    <t>Officine meccaniche per lavorazioni a freddo con oltre 25 addetti</t>
  </si>
  <si>
    <t>Attività di demolizioni di veicoli e simili con relativi depositi, di superficie superiore a 3000 m²</t>
  </si>
  <si>
    <t>Stabilimenti ed impianti ove si producono laterizi, maioliche, porcellane e simili con oltre 25 addetti</t>
  </si>
  <si>
    <t>Cementifici con oltre 25 addetti</t>
  </si>
  <si>
    <t>Pratiche di cui al D.Lgs. 230/95 s.m.i. soggette a provvedimenti autorizzativi (art. 27 del D.Lgs. 230/95 ed art. 13 legge 31 dicembre 1962, n. 1860)</t>
  </si>
  <si>
    <t>Autorimesse adibite al ricovero di mezzi utilizzati per il trasporto di materie fissili speciali e di materie radioattive (art. 5 della legge 31 dicembre 1962, n. 1860, sostituito dall'art. 2 del decreto del Presidente della Repubblica 30 dicembre 1965, n. 1704; art. 21 del D.Lgs. 230/95)</t>
  </si>
  <si>
    <t>Impianti di deposito delle materie nucleari ed attività assoggettate agli artt. 33 e 52 del decreto legislativo 17 marzo 1995, n. 230 e s.m.i. , con esclusione dei depositi in corso di spedizione</t>
  </si>
  <si>
    <t>Impianti nei quali siano detenuti combustibili nucleari o prodotti o residui radioattivi [art. 1, lettera b) della legge 31 dicembre 1962, n. 1860]</t>
  </si>
  <si>
    <t>Impianti relativi all'impiego pacifico dell'energia nucleare ed attività che comportano pericoli di radiazioni ionizzanti derivanti dal predetto impiego: impianti nucleari</t>
  </si>
  <si>
    <t xml:space="preserve">Stabilimenti per la produzione, depositi di sapone, di candele e di altri oggetti di cera e di paraffina, di acidi grassi, di glicerina grezza quando non sia prodotta per idrolisi, di glicerina </t>
  </si>
  <si>
    <t>Y = (2Q-500)/Q [curva asintotica verso 2]</t>
  </si>
  <si>
    <t>massa [kg]</t>
  </si>
  <si>
    <t>Centri informatici di elaborazione e/o archiviazione dati con oltre 25 addetti</t>
  </si>
  <si>
    <t>Locali di spettacolo e di trattenimento in genere, impianti e centri sportivi, palestre, sia a carattere pubblico che privato, con capienza superiore a 100 persone, ovvero di superficie lorda in pianta al chiuso superiore a 200 m2. Sono escluse le manifestazioni temporanee, di qualsiasi genere, che si effettuano in locali o luoghi aperti al pubblico</t>
  </si>
  <si>
    <t>Alberghi, pensioni, motel, villaggi albergo, residenze turistico - alberghiere, studentati, villaggi turistici, alloggi agrituristici, ostelli per la gioventù, rifugi alpini, bed &amp; breakfast, dormitori, case per ferie, con oltre 25 posti-letto; Strutture turistico-ricettive nell'aria aperta (campeggi, villaggi-turistici, ecc.) con capacità ricettiva superiore a 400 persone</t>
  </si>
  <si>
    <t>Y = (3N-100)/N [curva asintotica verso 3]</t>
  </si>
  <si>
    <t>Scuole di ogni ordine, grado e tipo, collegi, accademie con oltre 100 persone presenti; asili nido con oltre 30 persone presenti</t>
  </si>
  <si>
    <t>Strutture sanitarie che erogano prestazioni in regime di ricovero ospedaliero e/o residenziale a ciclo continuativo e/o diurno, case di riposo per anziani con oltre 25 posti letto;  Strutture sanitarie che erogano prestazioni di assistenza specialistica in regime ambulatoriale, ivi comprese quelle riabilitative, di diagnostica strumentale e di laboratorio, di superficie complessiva superiore a 500 m2</t>
  </si>
  <si>
    <t>Sup. area tipo C e D1</t>
  </si>
  <si>
    <t>Per le aree di tipo C e D1 si applicano i limiti in superficie</t>
  </si>
  <si>
    <t>Locali adibiti ad esposizione e/o vendita all'ingrosso o al dettaglio, fiere e quartieri fieristici, con superficie lorda superiore a 400 m2 comprensiva dei servizi e depositi. Sono escluse le manifestazioni temporanee, di qualsiasi genere, che si effettuano in locali o luoghi aperti al pubblico</t>
  </si>
  <si>
    <t>Vendita Dettaglio</t>
  </si>
  <si>
    <t>Locali adibiti a depositi di superficie lorda superiore a 1000 m2 con quantitativi di merci e materiali combustibili superiori complessivamente a 5000 kg</t>
  </si>
  <si>
    <t>Aziende ed uffici con oltre 300 persone presenti</t>
  </si>
  <si>
    <t>Y = (3N-300)/N [curva asintotica verso 3]</t>
  </si>
  <si>
    <t>Edifici e/o complessi edilizi a uso terziario e/o industriale caratterizzati da promiscuità strutturale e/o dei sistemi delle vie di esodo e/o impiantistica con presenza di persone superiore a 300 unità, ovvero di superficie complessiva superiore a 5000 m2, indipendentemente dal numero di attività costituenti e dalla relativa diversa titolarità</t>
  </si>
  <si>
    <t>Bibblioteche, museo e simili</t>
  </si>
  <si>
    <t>Altre attività soggette</t>
  </si>
  <si>
    <t>Edifici sottoposti a tutela ai sensi del D.Lgs. 22 gennaio 2004, n. 42 destinati a contenere biblioteche ed archivi, musei, gallerie, esposizioni e mostre, nonché qualsiasi altra attività contenuta nel presente Allegato indipendentemente dal numero di attività costituenti e dalla relativa diversa titolarità</t>
  </si>
  <si>
    <t>Attività interne non soggette</t>
  </si>
  <si>
    <t>Attività interne soggette</t>
  </si>
  <si>
    <t>Se le attività all'interno sono già soggette si aumenta solo di un 30%</t>
  </si>
  <si>
    <t>Se le attività all'interno sono già soggette si aumenta solo di un 20%</t>
  </si>
  <si>
    <t>Impianti per la produzione di calore alimentati a combustibile solido, liquido o gassoso con potenzialità superiore a 116 kW</t>
  </si>
  <si>
    <t>Autorimesse pubbliche e private, parcheggi pluriplano e meccanizzati di superficie complessiva superiore a 300 m2; locali adibiti al ricovero di natanti ed aeromobili di superficie superiore a 500 m2; depositi di mezzi rotabili al chiuso (treni, tram ecc.) di superficie superiore a 1000 m2</t>
  </si>
  <si>
    <t>Automobili</t>
  </si>
  <si>
    <t>Rotabili</t>
  </si>
  <si>
    <t>Y = (2P-1)/P [curva asintotica verso 2]</t>
  </si>
  <si>
    <t>Tipografie, litografie, stampa in offset ed attività similari con oltre cinque addett</t>
  </si>
  <si>
    <t>Edifici destinati ad uso civile, con altezza antincendio superiore a 24 m</t>
  </si>
  <si>
    <t>Altezza</t>
  </si>
  <si>
    <t>Aerostazioni, stazioni ferroviarie, stazioni marittime, con superficie coperta accessibile al pubblico superiore a 5000 m2; metropolitane in tutto o in parte sotterranee</t>
  </si>
  <si>
    <t>Superficie (per aerostazioni, stazioni ecc)</t>
  </si>
  <si>
    <t>N. Fermate metropolitane</t>
  </si>
  <si>
    <t>Aerostazione</t>
  </si>
  <si>
    <t>Stazione Ferroviaria</t>
  </si>
  <si>
    <t>Interporti con superficie superiore a 20.000 m²</t>
  </si>
  <si>
    <t xml:space="preserve">Gallerie stradali di lunghezza superiore a 500 m e ferroviarie superiori a 2000 </t>
  </si>
  <si>
    <t>Lunghezza</t>
  </si>
  <si>
    <t>Autostradale</t>
  </si>
  <si>
    <t>Ferroviaria</t>
  </si>
  <si>
    <t>Parametro Attività</t>
  </si>
  <si>
    <t>Normato?</t>
  </si>
  <si>
    <t>Non Normato</t>
  </si>
  <si>
    <t>normata da regola tecnica prescrittiva</t>
  </si>
  <si>
    <t>NOF?</t>
  </si>
  <si>
    <t>si</t>
  </si>
  <si>
    <t>no</t>
  </si>
  <si>
    <t>DER?</t>
  </si>
  <si>
    <t>FSE?</t>
  </si>
  <si>
    <t>Costo Orario</t>
  </si>
  <si>
    <t>nof</t>
  </si>
  <si>
    <t>der</t>
  </si>
  <si>
    <t>fse</t>
  </si>
  <si>
    <t>Fattore K applicato:</t>
  </si>
  <si>
    <t>PER ATT. 68</t>
  </si>
  <si>
    <t>Par. Princ</t>
  </si>
  <si>
    <t>Valore Parametro X =</t>
  </si>
  <si>
    <t>Valore Parametro Y =</t>
  </si>
  <si>
    <t>PARAMETRI</t>
  </si>
  <si>
    <t>Principale [S]</t>
  </si>
  <si>
    <t>Agg. 1 (X)</t>
  </si>
  <si>
    <t>Agg. 2 (Y)</t>
  </si>
  <si>
    <t>Valore</t>
  </si>
  <si>
    <t>DM 2015</t>
  </si>
  <si>
    <t>Nm³</t>
  </si>
  <si>
    <t>Compenso =</t>
  </si>
  <si>
    <t>INSERISCI</t>
  </si>
  <si>
    <t>ATTIVITA'</t>
  </si>
  <si>
    <t>SOTTOTIPO</t>
  </si>
  <si>
    <t>QUANTITA'</t>
  </si>
  <si>
    <t>CONTROLLA</t>
  </si>
  <si>
    <t>SE ESISTE X</t>
  </si>
  <si>
    <t>SE ESISTE Y</t>
  </si>
  <si>
    <t>SE X o Y NON ESISTONO</t>
  </si>
  <si>
    <t>SELEZIONA NON DEF.</t>
  </si>
  <si>
    <t>F</t>
  </si>
  <si>
    <t>Asintoto</t>
  </si>
  <si>
    <t>Partenza</t>
  </si>
  <si>
    <t xml:space="preserve">Modifica Eccedenza = </t>
  </si>
  <si>
    <t>Modifica Fattore K :</t>
  </si>
  <si>
    <t>Categoria A</t>
  </si>
  <si>
    <t>Categoria B</t>
  </si>
  <si>
    <t>Y = (2N-25)/N [curva asintotica verso 2]</t>
  </si>
  <si>
    <t>Depositi/archivi</t>
  </si>
  <si>
    <t>Biblioteche</t>
  </si>
  <si>
    <t>INDICARE</t>
  </si>
  <si>
    <t>SE NORMATA,</t>
  </si>
  <si>
    <t>NON NORMATA,</t>
  </si>
  <si>
    <t>O SI APPLICA IL D.M. 2015,</t>
  </si>
  <si>
    <r>
      <rPr>
        <sz val="18"/>
        <color indexed="8"/>
        <rFont val="Calibri"/>
        <family val="2"/>
      </rPr>
      <t xml:space="preserve">SE X o Y NON ESISTONO SELEZIONA </t>
    </r>
    <r>
      <rPr>
        <sz val="18"/>
        <color indexed="10"/>
        <rFont val="Calibri"/>
        <family val="2"/>
      </rPr>
      <t>NON DEF.</t>
    </r>
  </si>
  <si>
    <t>Parametro Principale</t>
  </si>
  <si>
    <t>PARAMETRO</t>
  </si>
  <si>
    <t>Valore [S]</t>
  </si>
  <si>
    <t>Parametro X</t>
  </si>
  <si>
    <t>Valore [X]</t>
  </si>
  <si>
    <t>Parametro Y</t>
  </si>
  <si>
    <t>Valore [Y]</t>
  </si>
  <si>
    <t>Attività Normata?</t>
  </si>
  <si>
    <t>x NEC</t>
  </si>
  <si>
    <t>Y NEC</t>
  </si>
  <si>
    <t>Persone
INSERIRE VALORE</t>
  </si>
  <si>
    <t>massa [t]
INSERIRE VALORE</t>
  </si>
  <si>
    <t/>
  </si>
  <si>
    <t>Posti Letto
INSERIRE VALORE</t>
  </si>
  <si>
    <t>Vendita Ingrosso
INSERIRE VALORE</t>
  </si>
  <si>
    <t>Numero Scale
INSERIRE VALORE</t>
  </si>
  <si>
    <t>Num. di Piani Interrati
INSERIRE VALORE</t>
  </si>
  <si>
    <t>Sup. area tipo B e F
INSERIRE VALORE</t>
  </si>
  <si>
    <t>Sup. area tipo D2
INSERIRE VALORE</t>
  </si>
  <si>
    <t>Totale Parametro</t>
  </si>
  <si>
    <t>Stabilimento [Superficie]</t>
  </si>
  <si>
    <t>Solo Deposito [Quantità]</t>
  </si>
  <si>
    <t>Ciclo [Superficie]</t>
  </si>
  <si>
    <t>PRINCIPALE</t>
  </si>
  <si>
    <t>OK</t>
  </si>
  <si>
    <t xml:space="preserve">Compenso atteso </t>
  </si>
  <si>
    <t>NOTE</t>
  </si>
  <si>
    <t>Modifica Par.  X =</t>
  </si>
  <si>
    <t>Modifica Par.  Y =</t>
  </si>
  <si>
    <t>PARAMETRI PROGETTO</t>
  </si>
  <si>
    <t>PARAMETRI SCIA</t>
  </si>
  <si>
    <t>SI</t>
  </si>
  <si>
    <t>NO</t>
  </si>
  <si>
    <t>K per Full</t>
  </si>
  <si>
    <t>K per Ass.</t>
  </si>
  <si>
    <t>Tabellare</t>
  </si>
  <si>
    <t>Analitico</t>
  </si>
  <si>
    <t>K per NA</t>
  </si>
  <si>
    <t>K SCIA</t>
  </si>
  <si>
    <t>A</t>
  </si>
  <si>
    <t>B</t>
  </si>
  <si>
    <t>C</t>
  </si>
  <si>
    <t>K per A</t>
  </si>
  <si>
    <t>Descrizione Attività</t>
  </si>
  <si>
    <t>K</t>
  </si>
  <si>
    <t>Tipologia</t>
  </si>
  <si>
    <t>Vendita Ingrosso</t>
  </si>
  <si>
    <t>Y = (2Q-20)/Q</t>
  </si>
  <si>
    <t>massa [t] Q</t>
  </si>
  <si>
    <t>Deposito e stabilimento</t>
  </si>
  <si>
    <t>Deposito e Impianto</t>
  </si>
  <si>
    <t>All'intero di edificio</t>
  </si>
  <si>
    <t>massa [kg] Q</t>
  </si>
  <si>
    <t>Persone P</t>
  </si>
  <si>
    <t>Posti Letto PL</t>
  </si>
  <si>
    <t>Bibblioteche, musei e simili</t>
  </si>
  <si>
    <t>Numero Scale SC</t>
  </si>
  <si>
    <t>Numero di Piani Interrati PI</t>
  </si>
  <si>
    <t>N. fermate metropolitane</t>
  </si>
  <si>
    <t>Parametro Principale (SxK)</t>
  </si>
  <si>
    <t>Ecc.</t>
  </si>
  <si>
    <t>N. Attività</t>
  </si>
  <si>
    <t xml:space="preserve">Sx - aree tipo B e/o F </t>
  </si>
  <si>
    <t>Sy - aree tipo D2</t>
  </si>
  <si>
    <t>X = (Sx x 7)^0,5</t>
  </si>
  <si>
    <t>Y = (Sy x 8)^0,5</t>
  </si>
  <si>
    <t>68(*)</t>
  </si>
  <si>
    <t>Incarico Completo</t>
  </si>
  <si>
    <t>PARAMETRI SCIA PARZIALI</t>
  </si>
  <si>
    <t>Categoria Attività</t>
  </si>
  <si>
    <t>B3  [n] Tabellare</t>
  </si>
  <si>
    <t>B3 [n] Analitico</t>
  </si>
  <si>
    <t>B4 [n]  Impianti</t>
  </si>
  <si>
    <t>B5 
SCIA</t>
  </si>
  <si>
    <t>B.6 Non Aggravio</t>
  </si>
  <si>
    <t>Tipo Incarico e attività</t>
  </si>
  <si>
    <t>B.2 Direzione Lavori</t>
  </si>
  <si>
    <t>k</t>
  </si>
  <si>
    <t>Con b.2</t>
  </si>
  <si>
    <t>Senza b.2</t>
  </si>
  <si>
    <t>Compenso Stimato Minimo Progettaz</t>
  </si>
  <si>
    <t>Compenso Stimato Massimo Progettaz</t>
  </si>
  <si>
    <t>Compenso Stimato Minimo SCIA</t>
  </si>
  <si>
    <t>Compenso Stimato Massimo SCIA</t>
  </si>
  <si>
    <t>Stabilimenti ed impianti ove si produce, impiega o detiene magnesio, elektron e altre leghe ad alto tenore di magnesio</t>
  </si>
  <si>
    <t>Y = (3N-200)/N [curva asintotica verso 3]</t>
  </si>
  <si>
    <t>Potenzialità [t]
INSERIRE VALORE</t>
  </si>
  <si>
    <t>massa [kg]
INSERIRE VALORE</t>
  </si>
  <si>
    <t>Parametro (X)</t>
  </si>
  <si>
    <t>Parametro (Y)</t>
  </si>
  <si>
    <t>Parametro  G=</t>
  </si>
  <si>
    <t>PARAMETRO G</t>
  </si>
  <si>
    <t>Sottoinsiemi</t>
  </si>
  <si>
    <t>INDICARE SE VIENE</t>
  </si>
  <si>
    <t xml:space="preserve">AFFIDATO L'INCARICO </t>
  </si>
  <si>
    <t xml:space="preserve">COMPLETO E LA </t>
  </si>
  <si>
    <t xml:space="preserve">CATEGORIA
</t>
  </si>
  <si>
    <t>INDICARE I PARAMETRI</t>
  </si>
  <si>
    <t>PARZIALI DELLA FASE 2</t>
  </si>
  <si>
    <t>(SOLO SE INCARICO</t>
  </si>
  <si>
    <t xml:space="preserve">NON COMPLETO)
</t>
  </si>
  <si>
    <r>
      <t>Parametro Fase 1 h</t>
    </r>
    <r>
      <rPr>
        <sz val="16"/>
        <color indexed="8"/>
        <rFont val="Calibri"/>
        <family val="2"/>
      </rPr>
      <t>i</t>
    </r>
    <r>
      <rPr>
        <sz val="26"/>
        <color indexed="8"/>
        <rFont val="Calibri"/>
        <family val="2"/>
      </rPr>
      <t xml:space="preserve"> =</t>
    </r>
  </si>
  <si>
    <t>Locali di spettacolo e di trat [...]</t>
  </si>
  <si>
    <t>-</t>
  </si>
  <si>
    <t>TOTALE FASE 1</t>
  </si>
  <si>
    <t>TOTALE FASE 2</t>
  </si>
  <si>
    <r>
      <t>(</t>
    </r>
    <r>
      <rPr>
        <i/>
        <sz val="11"/>
        <color indexed="8"/>
        <rFont val="Calibri"/>
        <family val="2"/>
      </rPr>
      <t>Totale ore equivalenti per una singola attività</t>
    </r>
    <r>
      <rPr>
        <sz val="11"/>
        <color theme="1"/>
        <rFont val="Calibri"/>
        <family val="2"/>
      </rPr>
      <t>)</t>
    </r>
  </si>
  <si>
    <r>
      <t>Parametro Fase 2 h</t>
    </r>
    <r>
      <rPr>
        <sz val="16"/>
        <color indexed="8"/>
        <rFont val="Calibri"/>
        <family val="2"/>
      </rPr>
      <t>j</t>
    </r>
    <r>
      <rPr>
        <sz val="26"/>
        <color indexed="8"/>
        <rFont val="Calibri"/>
        <family val="2"/>
      </rPr>
      <t xml:space="preserve"> =</t>
    </r>
  </si>
  <si>
    <t>TOTALE PER INCARICO COMPLETO</t>
  </si>
  <si>
    <r>
      <t>G</t>
    </r>
    <r>
      <rPr>
        <vertAlign val="subscript"/>
        <sz val="11"/>
        <color indexed="8"/>
        <rFont val="Calibri"/>
        <family val="2"/>
      </rPr>
      <t>i</t>
    </r>
  </si>
  <si>
    <r>
      <t>S</t>
    </r>
    <r>
      <rPr>
        <vertAlign val="subscript"/>
        <sz val="11"/>
        <color indexed="8"/>
        <rFont val="Calibri"/>
        <family val="2"/>
      </rPr>
      <t>eq</t>
    </r>
  </si>
  <si>
    <t>Attività Normata? [A]</t>
  </si>
  <si>
    <t>Richiesta di Deroga [D]</t>
  </si>
  <si>
    <t>Soluzioni alternative [I]</t>
  </si>
  <si>
    <t>Numero di soluzioni</t>
  </si>
  <si>
    <t>Soluzione/i con FSE?</t>
  </si>
  <si>
    <t>Numero di scenari FSE</t>
  </si>
  <si>
    <t>Alterna</t>
  </si>
  <si>
    <t>Alternative</t>
  </si>
  <si>
    <t>FSE</t>
  </si>
  <si>
    <t>B1</t>
  </si>
  <si>
    <t>B.1 Direzione Lavori</t>
  </si>
  <si>
    <t>B4</t>
  </si>
  <si>
    <t>hf1</t>
  </si>
  <si>
    <t>hF2</t>
  </si>
  <si>
    <r>
      <t>h</t>
    </r>
    <r>
      <rPr>
        <vertAlign val="subscript"/>
        <sz val="11"/>
        <color indexed="8"/>
        <rFont val="Calibri"/>
        <family val="2"/>
      </rPr>
      <t>i</t>
    </r>
  </si>
  <si>
    <t>FASE 1 - PROGETTO DI PREVENZIONE INCENDI</t>
  </si>
  <si>
    <t>FASE 2 - ASSISTENZA D.L. e SCIA</t>
  </si>
  <si>
    <t>B2  [n] Tabellare</t>
  </si>
  <si>
    <t>B2 [n] Analitico</t>
  </si>
  <si>
    <t>B3 [n]  Impianti</t>
  </si>
  <si>
    <t>B4 
SCIA</t>
  </si>
  <si>
    <t>B.5 Non Aggravio</t>
  </si>
  <si>
    <t>B5</t>
  </si>
  <si>
    <t>B2</t>
  </si>
  <si>
    <t>B3</t>
  </si>
  <si>
    <t>hi</t>
  </si>
  <si>
    <t>Seq</t>
  </si>
  <si>
    <t>Descrizione [...]</t>
  </si>
  <si>
    <r>
      <t>h</t>
    </r>
    <r>
      <rPr>
        <vertAlign val="subscript"/>
        <sz val="14"/>
        <color indexed="8"/>
        <rFont val="Calibri"/>
        <family val="2"/>
      </rPr>
      <t>j</t>
    </r>
    <r>
      <rPr>
        <sz val="14"/>
        <color indexed="8"/>
        <rFont val="Calibri"/>
        <family val="2"/>
      </rPr>
      <t xml:space="preserve"> = </t>
    </r>
    <r>
      <rPr>
        <sz val="14"/>
        <color indexed="8"/>
        <rFont val="Symbol"/>
        <family val="1"/>
      </rPr>
      <t>S</t>
    </r>
    <r>
      <rPr>
        <sz val="14"/>
        <color indexed="8"/>
        <rFont val="Calibri"/>
        <family val="2"/>
      </rPr>
      <t>h</t>
    </r>
    <r>
      <rPr>
        <vertAlign val="subscript"/>
        <sz val="14"/>
        <color indexed="8"/>
        <rFont val="Calibri"/>
        <family val="2"/>
      </rPr>
      <t>jk</t>
    </r>
  </si>
  <si>
    <r>
      <t>h</t>
    </r>
    <r>
      <rPr>
        <vertAlign val="subscript"/>
        <sz val="14"/>
        <color indexed="8"/>
        <rFont val="Calibri"/>
        <family val="2"/>
      </rPr>
      <t>j</t>
    </r>
    <r>
      <rPr>
        <sz val="14"/>
        <color indexed="8"/>
        <rFont val="Calibri"/>
        <family val="2"/>
      </rPr>
      <t xml:space="preserve"> = </t>
    </r>
    <r>
      <rPr>
        <sz val="14"/>
        <color indexed="8"/>
        <rFont val="Symbol"/>
        <family val="1"/>
      </rPr>
      <t>S</t>
    </r>
    <r>
      <rPr>
        <sz val="14"/>
        <color indexed="8"/>
        <rFont val="Calibri"/>
        <family val="2"/>
      </rPr>
      <t>gi</t>
    </r>
  </si>
  <si>
    <r>
      <t>h</t>
    </r>
    <r>
      <rPr>
        <vertAlign val="subscript"/>
        <sz val="14"/>
        <color indexed="8"/>
        <rFont val="Calibri"/>
        <family val="2"/>
      </rPr>
      <t>j</t>
    </r>
    <r>
      <rPr>
        <sz val="14"/>
        <color indexed="8"/>
        <rFont val="Calibri"/>
        <family val="2"/>
      </rPr>
      <t xml:space="preserve"> = 1,8 x </t>
    </r>
    <r>
      <rPr>
        <sz val="14"/>
        <color indexed="8"/>
        <rFont val="Symbol"/>
        <family val="1"/>
      </rPr>
      <t>S</t>
    </r>
    <r>
      <rPr>
        <sz val="14"/>
        <color indexed="8"/>
        <rFont val="Calibri"/>
        <family val="2"/>
      </rPr>
      <t>gi</t>
    </r>
  </si>
  <si>
    <t>Num. Att.</t>
  </si>
  <si>
    <t>Da valutare a discrezione in funzione del caso specifico</t>
  </si>
  <si>
    <t>---</t>
  </si>
  <si>
    <t>Postazioni</t>
  </si>
  <si>
    <t>Q.tà giornaliera [kg]
INSERIRE VALORE</t>
  </si>
  <si>
    <t>Cabine</t>
  </si>
  <si>
    <t>Depositi di gas comburenti compressi e/o liquefatti in serbatoi fissi e/o recipienti mobili per capacità geometrica complessiva superiore o uguale a 3 m³</t>
  </si>
  <si>
    <t>Q.tà vernici giornaliera [kg] Q</t>
  </si>
  <si>
    <t>Potenzialità[t] Q</t>
  </si>
  <si>
    <t>hj</t>
  </si>
  <si>
    <t>Verifiche su impianti di protezione attiva</t>
  </si>
  <si>
    <t>Estinzione e controllo incendi</t>
  </si>
  <si>
    <t>Rivelazione ed allarme</t>
  </si>
  <si>
    <t>Evacuazione fumi e calore</t>
  </si>
  <si>
    <t>Verifica elementi portanti</t>
  </si>
  <si>
    <r>
      <t>H</t>
    </r>
    <r>
      <rPr>
        <vertAlign val="subscript"/>
        <sz val="11"/>
        <color indexed="8"/>
        <rFont val="Calibri"/>
        <family val="2"/>
      </rPr>
      <t>F3</t>
    </r>
  </si>
  <si>
    <t>FASE 3 - RINNOVO</t>
  </si>
  <si>
    <t>Indicare il numero di elementi testati</t>
  </si>
  <si>
    <t>Indicare solo l'attività principale</t>
  </si>
  <si>
    <r>
      <t>H</t>
    </r>
    <r>
      <rPr>
        <vertAlign val="subscript"/>
        <sz val="12"/>
        <color indexed="8"/>
        <rFont val="Calibri"/>
        <family val="2"/>
      </rPr>
      <t>F3</t>
    </r>
    <r>
      <rPr>
        <sz val="12"/>
        <color indexed="8"/>
        <rFont val="Calibri"/>
        <family val="2"/>
      </rPr>
      <t xml:space="preserve"> = 8+[(5*n</t>
    </r>
    <r>
      <rPr>
        <vertAlign val="subscript"/>
        <sz val="12"/>
        <color indexed="8"/>
        <rFont val="Calibri"/>
        <family val="2"/>
      </rPr>
      <t>rei</t>
    </r>
    <r>
      <rPr>
        <sz val="12"/>
        <color indexed="8"/>
        <rFont val="Calibri"/>
        <family val="2"/>
      </rPr>
      <t>)+10*(n</t>
    </r>
    <r>
      <rPr>
        <vertAlign val="subscript"/>
        <sz val="12"/>
        <color indexed="8"/>
        <rFont val="Calibri"/>
        <family val="2"/>
      </rPr>
      <t>est</t>
    </r>
    <r>
      <rPr>
        <sz val="12"/>
        <color indexed="8"/>
        <rFont val="Calibri"/>
        <family val="2"/>
      </rPr>
      <t>+n</t>
    </r>
    <r>
      <rPr>
        <vertAlign val="subscript"/>
        <sz val="12"/>
        <color indexed="8"/>
        <rFont val="Calibri"/>
        <family val="2"/>
      </rPr>
      <t>irai</t>
    </r>
    <r>
      <rPr>
        <sz val="12"/>
        <color indexed="8"/>
        <rFont val="Calibri"/>
        <family val="2"/>
      </rPr>
      <t>+n</t>
    </r>
    <r>
      <rPr>
        <vertAlign val="subscript"/>
        <sz val="12"/>
        <color indexed="8"/>
        <rFont val="Calibri"/>
        <family val="2"/>
      </rPr>
      <t>efc</t>
    </r>
    <r>
      <rPr>
        <sz val="12"/>
        <color indexed="8"/>
        <rFont val="Calibri"/>
        <family val="2"/>
      </rPr>
      <t xml:space="preserve"> )] =</t>
    </r>
  </si>
  <si>
    <t>Parametro/valore</t>
  </si>
  <si>
    <r>
      <t>h</t>
    </r>
    <r>
      <rPr>
        <vertAlign val="subscript"/>
        <sz val="14"/>
        <color indexed="8"/>
        <rFont val="Calibri"/>
        <family val="2"/>
      </rPr>
      <t>j</t>
    </r>
    <r>
      <rPr>
        <sz val="14"/>
        <color indexed="8"/>
        <rFont val="Calibri"/>
        <family val="2"/>
      </rPr>
      <t xml:space="preserve"> = 1,8 x </t>
    </r>
    <r>
      <rPr>
        <sz val="14"/>
        <color indexed="8"/>
        <rFont val="Symbol"/>
        <family val="1"/>
      </rPr>
      <t>S</t>
    </r>
    <r>
      <rPr>
        <sz val="14"/>
        <color indexed="8"/>
        <rFont val="Calibri"/>
        <family val="2"/>
      </rPr>
      <t>g</t>
    </r>
    <r>
      <rPr>
        <vertAlign val="subscript"/>
        <sz val="14"/>
        <color indexed="8"/>
        <rFont val="Calibri"/>
        <family val="2"/>
      </rPr>
      <t>i</t>
    </r>
    <r>
      <rPr>
        <sz val="14"/>
        <color indexed="8"/>
        <rFont val="Calibri"/>
        <family val="2"/>
      </rPr>
      <t xml:space="preserve"> =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</si>
</sst>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26"/>
      <color indexed="8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i/>
      <sz val="11"/>
      <color indexed="8"/>
      <name val="Calibri"/>
      <family val="2"/>
    </font>
    <font>
      <sz val="16"/>
      <color indexed="10"/>
      <name val="Calibri"/>
      <family val="2"/>
    </font>
    <font>
      <sz val="10"/>
      <name val="Calibri"/>
      <family val="2"/>
    </font>
    <font>
      <sz val="20"/>
      <color indexed="10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4"/>
      <color indexed="9"/>
      <name val="Calibri"/>
      <family val="2"/>
    </font>
    <font>
      <vertAlign val="subscript"/>
      <sz val="14"/>
      <color indexed="8"/>
      <name val="Calibri"/>
      <family val="2"/>
    </font>
    <font>
      <sz val="14"/>
      <color indexed="8"/>
      <name val="Symbol"/>
      <family val="1"/>
    </font>
    <font>
      <sz val="10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mbria Math"/>
      <family val="1"/>
    </font>
    <font>
      <sz val="11"/>
      <color indexed="8"/>
      <name val="+mn-ea"/>
      <family val="0"/>
    </font>
    <font>
      <sz val="11"/>
      <color indexed="8"/>
      <name val="+mn-lt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6"/>
      <color theme="1"/>
      <name val="Calibri"/>
      <family val="2"/>
    </font>
    <font>
      <sz val="16"/>
      <color theme="1"/>
      <name val="Calibri"/>
      <family val="2"/>
    </font>
    <font>
      <sz val="18"/>
      <color rgb="FFFF0000"/>
      <name val="Calibri"/>
      <family val="2"/>
    </font>
    <font>
      <sz val="20"/>
      <color rgb="FFFF0000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4"/>
      <color theme="0"/>
      <name val="Calibri"/>
      <family val="2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/>
      <right style="medium">
        <color rgb="FF0070C0"/>
      </right>
      <top style="medium"/>
      <bottom style="thin"/>
    </border>
    <border>
      <left style="thin"/>
      <right style="medium"/>
      <top style="thin"/>
      <bottom style="medium">
        <color rgb="FF0070C0"/>
      </bottom>
    </border>
    <border>
      <left/>
      <right style="medium">
        <color rgb="FF0070C0"/>
      </right>
      <top style="thin"/>
      <bottom style="medium">
        <color rgb="FF0070C0"/>
      </bottom>
    </border>
    <border>
      <left/>
      <right style="thin"/>
      <top style="thin"/>
      <bottom style="medium">
        <color rgb="FFFF0000"/>
      </bottom>
    </border>
    <border>
      <left/>
      <right style="thin"/>
      <top style="thin"/>
      <bottom style="medium">
        <color rgb="FF0070C0"/>
      </bottom>
    </border>
    <border>
      <left style="medium">
        <color rgb="FFFF0000"/>
      </left>
      <right style="thin"/>
      <top style="thin"/>
      <bottom style="medium">
        <color rgb="FFFF0000"/>
      </bottom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thin"/>
      <top style="thin"/>
      <bottom style="medium">
        <color rgb="FF0070C0"/>
      </bottom>
    </border>
    <border>
      <left style="thin"/>
      <right style="thin"/>
      <top style="thin"/>
      <bottom style="medium">
        <color rgb="FF0070C0"/>
      </bottom>
    </border>
    <border>
      <left/>
      <right style="medium"/>
      <top style="thin"/>
      <bottom style="medium">
        <color rgb="FF0070C0"/>
      </bottom>
    </border>
    <border>
      <left/>
      <right/>
      <top style="medium">
        <color rgb="FF0070C0"/>
      </top>
      <bottom style="medium"/>
    </border>
    <border>
      <left/>
      <right style="medium">
        <color rgb="FF0070C0"/>
      </right>
      <top style="medium">
        <color rgb="FF0070C0"/>
      </top>
      <bottom style="medium"/>
    </border>
    <border>
      <left style="medium">
        <color rgb="FFFF0000"/>
      </left>
      <right/>
      <top/>
      <bottom style="thin"/>
    </border>
    <border>
      <left/>
      <right/>
      <top/>
      <bottom style="thin"/>
    </border>
    <border>
      <left/>
      <right style="medium">
        <color rgb="FFFF0000"/>
      </right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3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0" fontId="3" fillId="0" borderId="0" xfId="0" applyFont="1" applyAlignment="1" quotePrefix="1">
      <alignment/>
    </xf>
    <xf numFmtId="0" fontId="0" fillId="0" borderId="0" xfId="0" applyAlignment="1">
      <alignment horizontal="right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 applyProtection="1">
      <alignment vertical="center"/>
      <protection hidden="1"/>
    </xf>
    <xf numFmtId="0" fontId="0" fillId="35" borderId="10" xfId="0" applyFill="1" applyBorder="1" applyAlignment="1">
      <alignment vertical="center"/>
    </xf>
    <xf numFmtId="0" fontId="0" fillId="13" borderId="10" xfId="0" applyFill="1" applyBorder="1" applyAlignment="1" applyProtection="1">
      <alignment vertical="center" wrapText="1"/>
      <protection locked="0"/>
    </xf>
    <xf numFmtId="164" fontId="0" fillId="35" borderId="10" xfId="43" applyNumberFormat="1" applyFont="1" applyFill="1" applyBorder="1" applyAlignment="1">
      <alignment vertical="center"/>
    </xf>
    <xf numFmtId="43" fontId="0" fillId="34" borderId="10" xfId="43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right" vertical="center"/>
    </xf>
    <xf numFmtId="0" fontId="0" fillId="35" borderId="10" xfId="0" applyFill="1" applyBorder="1" applyAlignment="1" applyProtection="1">
      <alignment vertical="center"/>
      <protection locked="0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43" fontId="0" fillId="34" borderId="10" xfId="43" applyFont="1" applyFill="1" applyBorder="1" applyAlignment="1">
      <alignment horizontal="center" vertical="center"/>
    </xf>
    <xf numFmtId="44" fontId="0" fillId="35" borderId="10" xfId="59" applyFont="1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47" fillId="0" borderId="0" xfId="0" applyFont="1" applyAlignment="1">
      <alignment horizontal="right" vertical="center"/>
    </xf>
    <xf numFmtId="44" fontId="0" fillId="35" borderId="10" xfId="59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right"/>
    </xf>
    <xf numFmtId="0" fontId="0" fillId="19" borderId="10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3" borderId="10" xfId="0" applyFill="1" applyBorder="1" applyAlignment="1">
      <alignment horizontal="center" vertical="center" wrapText="1"/>
    </xf>
    <xf numFmtId="44" fontId="56" fillId="0" borderId="0" xfId="0" applyNumberFormat="1" applyFont="1" applyAlignment="1">
      <alignment horizontal="center"/>
    </xf>
    <xf numFmtId="0" fontId="47" fillId="0" borderId="0" xfId="0" applyFont="1" applyAlignment="1">
      <alignment horizontal="center" vertical="top"/>
    </xf>
    <xf numFmtId="0" fontId="0" fillId="35" borderId="10" xfId="0" applyFill="1" applyBorder="1" applyAlignment="1" applyProtection="1">
      <alignment horizontal="left" wrapText="1"/>
      <protection locked="0"/>
    </xf>
    <xf numFmtId="43" fontId="0" fillId="33" borderId="10" xfId="43" applyFont="1" applyFill="1" applyBorder="1" applyAlignment="1">
      <alignment horizontal="center" vertical="center" wrapText="1"/>
    </xf>
    <xf numFmtId="43" fontId="0" fillId="0" borderId="0" xfId="43" applyFont="1" applyAlignment="1">
      <alignment/>
    </xf>
    <xf numFmtId="44" fontId="0" fillId="33" borderId="10" xfId="59" applyFont="1" applyFill="1" applyBorder="1" applyAlignment="1">
      <alignment horizontal="center" vertical="center" wrapText="1"/>
    </xf>
    <xf numFmtId="44" fontId="0" fillId="33" borderId="10" xfId="59" applyFont="1" applyFill="1" applyBorder="1" applyAlignment="1">
      <alignment horizontal="center" vertical="center"/>
    </xf>
    <xf numFmtId="44" fontId="0" fillId="0" borderId="0" xfId="59" applyFont="1" applyAlignment="1">
      <alignment/>
    </xf>
    <xf numFmtId="7" fontId="0" fillId="0" borderId="0" xfId="59" applyNumberFormat="1" applyFont="1" applyAlignment="1">
      <alignment/>
    </xf>
    <xf numFmtId="2" fontId="0" fillId="35" borderId="10" xfId="0" applyNumberFormat="1" applyFill="1" applyBorder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 quotePrefix="1">
      <alignment vertical="center" wrapTex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wrapText="1"/>
    </xf>
    <xf numFmtId="9" fontId="10" fillId="0" borderId="0" xfId="48" applyFont="1" applyAlignment="1">
      <alignment horizontal="right" vertical="center"/>
    </xf>
    <xf numFmtId="0" fontId="58" fillId="0" borderId="0" xfId="0" applyFont="1" applyAlignment="1">
      <alignment horizontal="center" vertical="center" wrapText="1"/>
    </xf>
    <xf numFmtId="43" fontId="0" fillId="0" borderId="0" xfId="43" applyFont="1" applyAlignment="1">
      <alignment wrapText="1"/>
    </xf>
    <xf numFmtId="2" fontId="0" fillId="35" borderId="12" xfId="0" applyNumberFormat="1" applyFill="1" applyBorder="1" applyAlignment="1" applyProtection="1">
      <alignment/>
      <protection locked="0"/>
    </xf>
    <xf numFmtId="2" fontId="0" fillId="35" borderId="15" xfId="0" applyNumberFormat="1" applyFill="1" applyBorder="1" applyAlignment="1" applyProtection="1">
      <alignment/>
      <protection locked="0"/>
    </xf>
    <xf numFmtId="43" fontId="0" fillId="34" borderId="10" xfId="43" applyFont="1" applyFill="1" applyBorder="1" applyAlignment="1" applyProtection="1">
      <alignment vertical="center"/>
      <protection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/>
    </xf>
    <xf numFmtId="7" fontId="0" fillId="0" borderId="0" xfId="0" applyNumberFormat="1" applyAlignment="1">
      <alignment/>
    </xf>
    <xf numFmtId="0" fontId="3" fillId="36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64" fontId="56" fillId="0" borderId="0" xfId="43" applyNumberFormat="1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top"/>
    </xf>
    <xf numFmtId="164" fontId="60" fillId="0" borderId="0" xfId="43" applyNumberFormat="1" applyFont="1" applyAlignment="1">
      <alignment horizontal="left"/>
    </xf>
    <xf numFmtId="44" fontId="56" fillId="0" borderId="0" xfId="0" applyNumberFormat="1" applyFont="1" applyAlignment="1">
      <alignment/>
    </xf>
    <xf numFmtId="43" fontId="0" fillId="33" borderId="10" xfId="0" applyNumberFormat="1" applyFill="1" applyBorder="1" applyAlignment="1">
      <alignment/>
    </xf>
    <xf numFmtId="0" fontId="0" fillId="33" borderId="15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13" borderId="20" xfId="0" applyFill="1" applyBorder="1" applyAlignment="1" applyProtection="1">
      <alignment vertical="center" wrapText="1"/>
      <protection locked="0"/>
    </xf>
    <xf numFmtId="0" fontId="0" fillId="19" borderId="20" xfId="0" applyFill="1" applyBorder="1" applyAlignment="1" applyProtection="1">
      <alignment horizontal="center" vertical="center" wrapText="1"/>
      <protection locked="0"/>
    </xf>
    <xf numFmtId="0" fontId="0" fillId="19" borderId="21" xfId="0" applyFill="1" applyBorder="1" applyAlignment="1" applyProtection="1">
      <alignment horizontal="center" vertical="center" wrapText="1"/>
      <protection locked="0"/>
    </xf>
    <xf numFmtId="43" fontId="0" fillId="34" borderId="22" xfId="43" applyFont="1" applyFill="1" applyBorder="1" applyAlignment="1">
      <alignment vertical="center"/>
    </xf>
    <xf numFmtId="0" fontId="0" fillId="33" borderId="23" xfId="0" applyFill="1" applyBorder="1" applyAlignment="1">
      <alignment/>
    </xf>
    <xf numFmtId="0" fontId="0" fillId="37" borderId="24" xfId="0" applyFill="1" applyBorder="1" applyAlignment="1" applyProtection="1">
      <alignment vertical="center"/>
      <protection locked="0"/>
    </xf>
    <xf numFmtId="43" fontId="0" fillId="34" borderId="25" xfId="43" applyFont="1" applyFill="1" applyBorder="1" applyAlignment="1">
      <alignment vertical="center"/>
    </xf>
    <xf numFmtId="164" fontId="0" fillId="35" borderId="26" xfId="43" applyNumberFormat="1" applyFont="1" applyFill="1" applyBorder="1" applyAlignment="1" applyProtection="1">
      <alignment vertical="center"/>
      <protection locked="0"/>
    </xf>
    <xf numFmtId="0" fontId="0" fillId="34" borderId="12" xfId="0" applyFill="1" applyBorder="1" applyAlignment="1">
      <alignment vertical="center" wrapText="1"/>
    </xf>
    <xf numFmtId="0" fontId="0" fillId="19" borderId="27" xfId="0" applyFill="1" applyBorder="1" applyAlignment="1" applyProtection="1">
      <alignment vertical="center"/>
      <protection locked="0"/>
    </xf>
    <xf numFmtId="0" fontId="0" fillId="13" borderId="28" xfId="0" applyFill="1" applyBorder="1" applyAlignment="1" applyProtection="1">
      <alignment vertical="center" wrapText="1"/>
      <protection locked="0"/>
    </xf>
    <xf numFmtId="0" fontId="0" fillId="34" borderId="20" xfId="0" applyFill="1" applyBorder="1" applyAlignment="1">
      <alignment horizontal="center" vertical="center"/>
    </xf>
    <xf numFmtId="0" fontId="61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56" fillId="0" borderId="12" xfId="0" applyFont="1" applyBorder="1" applyAlignment="1">
      <alignment horizontal="right" vertical="center"/>
    </xf>
    <xf numFmtId="164" fontId="56" fillId="0" borderId="15" xfId="43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164" fontId="60" fillId="0" borderId="12" xfId="43" applyNumberFormat="1" applyFont="1" applyBorder="1" applyAlignment="1">
      <alignment horizontal="left"/>
    </xf>
    <xf numFmtId="0" fontId="0" fillId="38" borderId="20" xfId="0" applyFill="1" applyBorder="1" applyAlignment="1" applyProtection="1">
      <alignment vertical="center"/>
      <protection/>
    </xf>
    <xf numFmtId="0" fontId="0" fillId="38" borderId="21" xfId="0" applyFill="1" applyBorder="1" applyAlignment="1" applyProtection="1">
      <alignment horizontal="center" vertical="center" wrapText="1"/>
      <protection/>
    </xf>
    <xf numFmtId="0" fontId="61" fillId="0" borderId="29" xfId="0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3" fillId="36" borderId="0" xfId="0" applyFont="1" applyFill="1" applyAlignment="1" quotePrefix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 quotePrefix="1">
      <alignment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 quotePrefix="1">
      <alignment/>
    </xf>
    <xf numFmtId="0" fontId="62" fillId="0" borderId="0" xfId="0" applyFont="1" applyAlignment="1">
      <alignment horizontal="center" vertical="center"/>
    </xf>
    <xf numFmtId="0" fontId="3" fillId="35" borderId="0" xfId="0" applyFont="1" applyFill="1" applyAlignment="1">
      <alignment wrapText="1"/>
    </xf>
    <xf numFmtId="0" fontId="19" fillId="33" borderId="12" xfId="0" applyFont="1" applyFill="1" applyBorder="1" applyAlignment="1">
      <alignment/>
    </xf>
    <xf numFmtId="0" fontId="19" fillId="33" borderId="12" xfId="0" applyFont="1" applyFill="1" applyBorder="1" applyAlignment="1">
      <alignment vertical="center" wrapText="1"/>
    </xf>
    <xf numFmtId="0" fontId="19" fillId="33" borderId="30" xfId="0" applyFont="1" applyFill="1" applyBorder="1" applyAlignment="1">
      <alignment horizontal="center" vertical="center" wrapText="1"/>
    </xf>
    <xf numFmtId="9" fontId="19" fillId="33" borderId="31" xfId="48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31" xfId="0" applyFont="1" applyFill="1" applyBorder="1" applyAlignment="1">
      <alignment horizontal="center" vertical="center" wrapText="1"/>
    </xf>
    <xf numFmtId="0" fontId="19" fillId="33" borderId="31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/>
    </xf>
    <xf numFmtId="0" fontId="19" fillId="0" borderId="33" xfId="0" applyFont="1" applyBorder="1" applyAlignment="1">
      <alignment horizontal="center" vertical="center"/>
    </xf>
    <xf numFmtId="0" fontId="19" fillId="0" borderId="33" xfId="0" applyFont="1" applyBorder="1" applyAlignment="1">
      <alignment horizontal="right" vertical="center"/>
    </xf>
    <xf numFmtId="9" fontId="19" fillId="0" borderId="34" xfId="48" applyFont="1" applyBorder="1" applyAlignment="1">
      <alignment horizontal="right" vertical="center"/>
    </xf>
    <xf numFmtId="0" fontId="19" fillId="0" borderId="35" xfId="0" applyFont="1" applyBorder="1" applyAlignment="1">
      <alignment wrapText="1"/>
    </xf>
    <xf numFmtId="0" fontId="19" fillId="0" borderId="34" xfId="0" applyFont="1" applyBorder="1" applyAlignment="1">
      <alignment horizontal="left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right" vertical="center"/>
    </xf>
    <xf numFmtId="0" fontId="19" fillId="0" borderId="13" xfId="0" applyFont="1" applyBorder="1" applyAlignment="1">
      <alignment wrapText="1"/>
    </xf>
    <xf numFmtId="0" fontId="19" fillId="0" borderId="14" xfId="0" applyFont="1" applyBorder="1" applyAlignment="1">
      <alignment horizontal="left" wrapText="1"/>
    </xf>
    <xf numFmtId="0" fontId="19" fillId="34" borderId="12" xfId="0" applyFont="1" applyFill="1" applyBorder="1" applyAlignment="1">
      <alignment/>
    </xf>
    <xf numFmtId="0" fontId="19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right" vertical="center"/>
    </xf>
    <xf numFmtId="9" fontId="19" fillId="34" borderId="14" xfId="48" applyFont="1" applyFill="1" applyBorder="1" applyAlignment="1">
      <alignment horizontal="right" vertical="center"/>
    </xf>
    <xf numFmtId="0" fontId="19" fillId="34" borderId="13" xfId="0" applyFont="1" applyFill="1" applyBorder="1" applyAlignment="1">
      <alignment wrapText="1"/>
    </xf>
    <xf numFmtId="0" fontId="19" fillId="34" borderId="14" xfId="0" applyFont="1" applyFill="1" applyBorder="1" applyAlignment="1">
      <alignment horizontal="left" wrapText="1"/>
    </xf>
    <xf numFmtId="0" fontId="19" fillId="0" borderId="36" xfId="0" applyFont="1" applyBorder="1" applyAlignment="1">
      <alignment/>
    </xf>
    <xf numFmtId="0" fontId="19" fillId="34" borderId="37" xfId="0" applyFont="1" applyFill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34" borderId="38" xfId="0" applyFont="1" applyFill="1" applyBorder="1" applyAlignment="1">
      <alignment vertical="center"/>
    </xf>
    <xf numFmtId="0" fontId="19" fillId="0" borderId="38" xfId="0" applyFont="1" applyBorder="1" applyAlignment="1">
      <alignment vertical="center"/>
    </xf>
    <xf numFmtId="9" fontId="19" fillId="0" borderId="14" xfId="48" applyFont="1" applyBorder="1" applyAlignment="1">
      <alignment horizontal="right" vertical="center"/>
    </xf>
    <xf numFmtId="0" fontId="19" fillId="0" borderId="13" xfId="0" applyFont="1" applyBorder="1" applyAlignment="1" quotePrefix="1">
      <alignment wrapText="1"/>
    </xf>
    <xf numFmtId="0" fontId="19" fillId="34" borderId="13" xfId="0" applyFont="1" applyFill="1" applyBorder="1" applyAlignment="1" quotePrefix="1">
      <alignment wrapText="1"/>
    </xf>
    <xf numFmtId="0" fontId="19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9" fontId="19" fillId="0" borderId="14" xfId="48" applyFont="1" applyBorder="1" applyAlignment="1">
      <alignment vertical="center"/>
    </xf>
    <xf numFmtId="0" fontId="19" fillId="34" borderId="39" xfId="0" applyFont="1" applyFill="1" applyBorder="1" applyAlignment="1">
      <alignment horizontal="center" vertical="center"/>
    </xf>
    <xf numFmtId="0" fontId="19" fillId="34" borderId="0" xfId="0" applyFont="1" applyFill="1" applyAlignment="1">
      <alignment/>
    </xf>
    <xf numFmtId="0" fontId="19" fillId="34" borderId="12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right" vertical="center"/>
    </xf>
    <xf numFmtId="0" fontId="19" fillId="34" borderId="12" xfId="0" applyFont="1" applyFill="1" applyBorder="1" applyAlignment="1">
      <alignment vertical="center"/>
    </xf>
    <xf numFmtId="0" fontId="19" fillId="34" borderId="13" xfId="0" applyFont="1" applyFill="1" applyBorder="1" applyAlignment="1">
      <alignment vertical="center" wrapText="1"/>
    </xf>
    <xf numFmtId="0" fontId="19" fillId="34" borderId="14" xfId="0" applyFont="1" applyFill="1" applyBorder="1" applyAlignment="1">
      <alignment horizontal="left" vertical="center" wrapText="1"/>
    </xf>
    <xf numFmtId="0" fontId="19" fillId="0" borderId="3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34" borderId="40" xfId="0" applyFont="1" applyFill="1" applyBorder="1" applyAlignment="1">
      <alignment horizontal="center" vertical="center"/>
    </xf>
    <xf numFmtId="0" fontId="19" fillId="34" borderId="31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19" fillId="34" borderId="13" xfId="0" applyFont="1" applyFill="1" applyBorder="1" applyAlignment="1" quotePrefix="1">
      <alignment vertical="center" wrapText="1"/>
    </xf>
    <xf numFmtId="0" fontId="19" fillId="34" borderId="10" xfId="0" applyFont="1" applyFill="1" applyBorder="1" applyAlignment="1">
      <alignment vertical="center" wrapText="1"/>
    </xf>
    <xf numFmtId="0" fontId="19" fillId="0" borderId="13" xfId="0" applyFont="1" applyBorder="1" applyAlignment="1" quotePrefix="1">
      <alignment vertical="center" wrapText="1"/>
    </xf>
    <xf numFmtId="0" fontId="19" fillId="34" borderId="42" xfId="0" applyFont="1" applyFill="1" applyBorder="1" applyAlignment="1">
      <alignment vertical="center" wrapText="1"/>
    </xf>
    <xf numFmtId="0" fontId="19" fillId="34" borderId="32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9" fillId="34" borderId="15" xfId="0" applyFont="1" applyFill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19" fillId="34" borderId="0" xfId="0" applyFont="1" applyFill="1" applyAlignment="1">
      <alignment horizontal="left" wrapText="1"/>
    </xf>
    <xf numFmtId="0" fontId="19" fillId="34" borderId="15" xfId="0" applyFont="1" applyFill="1" applyBorder="1" applyAlignment="1">
      <alignment horizontal="left" vertical="center" wrapText="1"/>
    </xf>
    <xf numFmtId="0" fontId="63" fillId="0" borderId="43" xfId="0" applyFont="1" applyFill="1" applyBorder="1" applyAlignment="1">
      <alignment/>
    </xf>
    <xf numFmtId="0" fontId="63" fillId="0" borderId="44" xfId="0" applyFont="1" applyFill="1" applyBorder="1" applyAlignment="1">
      <alignment/>
    </xf>
    <xf numFmtId="0" fontId="0" fillId="33" borderId="29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5" borderId="0" xfId="0" applyFill="1" applyAlignment="1" applyProtection="1">
      <alignment horizontal="center" vertical="center"/>
      <protection locked="0"/>
    </xf>
    <xf numFmtId="0" fontId="61" fillId="35" borderId="10" xfId="0" applyFont="1" applyFill="1" applyBorder="1" applyAlignment="1" applyProtection="1">
      <alignment horizontal="center" vertical="center"/>
      <protection locked="0"/>
    </xf>
    <xf numFmtId="0" fontId="64" fillId="0" borderId="0" xfId="0" applyFont="1" applyAlignment="1">
      <alignment horizontal="right"/>
    </xf>
    <xf numFmtId="0" fontId="0" fillId="38" borderId="47" xfId="0" applyFill="1" applyBorder="1" applyAlignment="1" applyProtection="1">
      <alignment vertical="center"/>
      <protection/>
    </xf>
    <xf numFmtId="0" fontId="0" fillId="38" borderId="48" xfId="0" applyFill="1" applyBorder="1" applyAlignment="1" applyProtection="1">
      <alignment vertical="center"/>
      <protection/>
    </xf>
    <xf numFmtId="0" fontId="0" fillId="38" borderId="24" xfId="0" applyFill="1" applyBorder="1" applyAlignment="1" applyProtection="1">
      <alignment vertical="center"/>
      <protection/>
    </xf>
    <xf numFmtId="0" fontId="0" fillId="38" borderId="49" xfId="0" applyFill="1" applyBorder="1" applyAlignment="1" applyProtection="1">
      <alignment vertical="center"/>
      <protection/>
    </xf>
    <xf numFmtId="0" fontId="0" fillId="35" borderId="20" xfId="0" applyFill="1" applyBorder="1" applyAlignment="1" applyProtection="1">
      <alignment vertical="center"/>
      <protection hidden="1" locked="0"/>
    </xf>
    <xf numFmtId="0" fontId="63" fillId="39" borderId="50" xfId="0" applyFont="1" applyFill="1" applyBorder="1" applyAlignment="1">
      <alignment horizontal="center"/>
    </xf>
    <xf numFmtId="0" fontId="63" fillId="39" borderId="51" xfId="0" applyFont="1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63" fillId="36" borderId="55" xfId="0" applyFont="1" applyFill="1" applyBorder="1" applyAlignment="1">
      <alignment horizontal="center"/>
    </xf>
    <xf numFmtId="0" fontId="63" fillId="36" borderId="43" xfId="0" applyFont="1" applyFill="1" applyBorder="1" applyAlignment="1">
      <alignment horizontal="center"/>
    </xf>
    <xf numFmtId="0" fontId="63" fillId="36" borderId="44" xfId="0" applyFont="1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 vertical="center" wrapText="1"/>
    </xf>
    <xf numFmtId="164" fontId="56" fillId="35" borderId="12" xfId="43" applyNumberFormat="1" applyFont="1" applyFill="1" applyBorder="1" applyAlignment="1" applyProtection="1">
      <alignment horizontal="center"/>
      <protection locked="0"/>
    </xf>
    <xf numFmtId="164" fontId="56" fillId="35" borderId="15" xfId="43" applyNumberFormat="1" applyFont="1" applyFill="1" applyBorder="1" applyAlignment="1" applyProtection="1">
      <alignment horizontal="center"/>
      <protection locked="0"/>
    </xf>
    <xf numFmtId="164" fontId="0" fillId="0" borderId="29" xfId="43" applyNumberFormat="1" applyFont="1" applyBorder="1" applyAlignment="1">
      <alignment horizontal="left" vertical="center"/>
    </xf>
    <xf numFmtId="164" fontId="61" fillId="0" borderId="12" xfId="43" applyNumberFormat="1" applyFont="1" applyBorder="1" applyAlignment="1">
      <alignment horizontal="center"/>
    </xf>
    <xf numFmtId="164" fontId="61" fillId="0" borderId="29" xfId="43" applyNumberFormat="1" applyFont="1" applyBorder="1" applyAlignment="1">
      <alignment horizontal="center"/>
    </xf>
    <xf numFmtId="164" fontId="60" fillId="0" borderId="12" xfId="43" applyNumberFormat="1" applyFont="1" applyBorder="1" applyAlignment="1">
      <alignment horizontal="center"/>
    </xf>
    <xf numFmtId="164" fontId="60" fillId="0" borderId="29" xfId="43" applyNumberFormat="1" applyFont="1" applyBorder="1" applyAlignment="1">
      <alignment horizontal="center"/>
    </xf>
    <xf numFmtId="0" fontId="47" fillId="0" borderId="0" xfId="0" applyFont="1" applyAlignment="1">
      <alignment horizontal="center" vertical="top"/>
    </xf>
    <xf numFmtId="164" fontId="0" fillId="0" borderId="15" xfId="43" applyNumberFormat="1" applyFont="1" applyBorder="1" applyAlignment="1">
      <alignment horizontal="left" vertical="center"/>
    </xf>
    <xf numFmtId="43" fontId="0" fillId="0" borderId="29" xfId="0" applyNumberFormat="1" applyBorder="1" applyAlignment="1">
      <alignment horizontal="left" vertical="center"/>
    </xf>
    <xf numFmtId="43" fontId="0" fillId="0" borderId="15" xfId="0" applyNumberFormat="1" applyBorder="1" applyAlignment="1">
      <alignment horizontal="left" vertical="center"/>
    </xf>
    <xf numFmtId="0" fontId="0" fillId="33" borderId="58" xfId="0" applyFill="1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63" fillId="40" borderId="55" xfId="0" applyFont="1" applyFill="1" applyBorder="1" applyAlignment="1">
      <alignment horizontal="center"/>
    </xf>
    <xf numFmtId="0" fontId="63" fillId="40" borderId="43" xfId="0" applyFont="1" applyFill="1" applyBorder="1" applyAlignment="1">
      <alignment horizontal="center"/>
    </xf>
    <xf numFmtId="0" fontId="19" fillId="0" borderId="41" xfId="0" applyFont="1" applyBorder="1" applyAlignment="1">
      <alignment horizontal="left" wrapText="1"/>
    </xf>
    <xf numFmtId="0" fontId="19" fillId="0" borderId="35" xfId="0" applyFont="1" applyBorder="1" applyAlignment="1">
      <alignment horizontal="left" wrapText="1"/>
    </xf>
    <xf numFmtId="0" fontId="19" fillId="34" borderId="41" xfId="0" applyFont="1" applyFill="1" applyBorder="1" applyAlignment="1">
      <alignment horizontal="left" vertical="center" wrapText="1"/>
    </xf>
    <xf numFmtId="0" fontId="19" fillId="34" borderId="35" xfId="0" applyFont="1" applyFill="1" applyBorder="1" applyAlignment="1">
      <alignment horizontal="left" vertical="center" wrapText="1"/>
    </xf>
    <xf numFmtId="0" fontId="10" fillId="33" borderId="41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34" borderId="61" xfId="0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19" fillId="0" borderId="62" xfId="0" applyFont="1" applyBorder="1" applyAlignment="1" quotePrefix="1">
      <alignment horizontal="center"/>
    </xf>
    <xf numFmtId="0" fontId="19" fillId="0" borderId="63" xfId="0" applyFont="1" applyBorder="1" applyAlignment="1" quotePrefix="1">
      <alignment horizontal="center"/>
    </xf>
    <xf numFmtId="0" fontId="19" fillId="0" borderId="64" xfId="0" applyFont="1" applyBorder="1" applyAlignment="1" quotePrefix="1">
      <alignment horizontal="center"/>
    </xf>
    <xf numFmtId="0" fontId="19" fillId="0" borderId="65" xfId="0" applyFont="1" applyBorder="1" applyAlignment="1" quotePrefix="1">
      <alignment horizontal="center"/>
    </xf>
    <xf numFmtId="0" fontId="19" fillId="34" borderId="41" xfId="0" applyFont="1" applyFill="1" applyBorder="1" applyAlignment="1">
      <alignment horizontal="left" vertical="top" wrapText="1"/>
    </xf>
    <xf numFmtId="0" fontId="19" fillId="34" borderId="35" xfId="0" applyFont="1" applyFill="1" applyBorder="1" applyAlignment="1">
      <alignment horizontal="left" vertical="top" wrapText="1"/>
    </xf>
    <xf numFmtId="0" fontId="19" fillId="0" borderId="41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34" borderId="41" xfId="0" applyFont="1" applyFill="1" applyBorder="1" applyAlignment="1">
      <alignment vertical="center" wrapText="1"/>
    </xf>
    <xf numFmtId="0" fontId="19" fillId="34" borderId="35" xfId="0" applyFont="1" applyFill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34" borderId="36" xfId="0" applyFont="1" applyFill="1" applyBorder="1" applyAlignment="1">
      <alignment horizontal="center" vertical="center"/>
    </xf>
    <xf numFmtId="0" fontId="19" fillId="34" borderId="63" xfId="0" applyFont="1" applyFill="1" applyBorder="1" applyAlignment="1">
      <alignment horizontal="center" vertical="center"/>
    </xf>
    <xf numFmtId="0" fontId="19" fillId="34" borderId="66" xfId="0" applyFont="1" applyFill="1" applyBorder="1" applyAlignment="1">
      <alignment horizontal="center" vertical="center"/>
    </xf>
    <xf numFmtId="0" fontId="19" fillId="34" borderId="65" xfId="0" applyFont="1" applyFill="1" applyBorder="1" applyAlignment="1">
      <alignment horizontal="center" vertical="center"/>
    </xf>
    <xf numFmtId="0" fontId="19" fillId="34" borderId="41" xfId="0" applyFont="1" applyFill="1" applyBorder="1" applyAlignment="1">
      <alignment vertical="top" wrapText="1"/>
    </xf>
    <xf numFmtId="0" fontId="19" fillId="34" borderId="35" xfId="0" applyFont="1" applyFill="1" applyBorder="1" applyAlignment="1">
      <alignment vertical="top" wrapText="1"/>
    </xf>
    <xf numFmtId="0" fontId="19" fillId="34" borderId="40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34" borderId="13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34" borderId="62" xfId="0" applyFont="1" applyFill="1" applyBorder="1" applyAlignment="1" quotePrefix="1">
      <alignment horizontal="center"/>
    </xf>
    <xf numFmtId="0" fontId="19" fillId="34" borderId="63" xfId="0" applyFont="1" applyFill="1" applyBorder="1" applyAlignment="1" quotePrefix="1">
      <alignment horizontal="center"/>
    </xf>
    <xf numFmtId="0" fontId="19" fillId="34" borderId="67" xfId="0" applyFont="1" applyFill="1" applyBorder="1" applyAlignment="1" quotePrefix="1">
      <alignment horizontal="center"/>
    </xf>
    <xf numFmtId="0" fontId="19" fillId="34" borderId="68" xfId="0" applyFont="1" applyFill="1" applyBorder="1" applyAlignment="1" quotePrefix="1">
      <alignment horizontal="center"/>
    </xf>
    <xf numFmtId="0" fontId="19" fillId="34" borderId="69" xfId="0" applyFont="1" applyFill="1" applyBorder="1" applyAlignment="1">
      <alignment horizontal="center" vertical="center"/>
    </xf>
    <xf numFmtId="0" fontId="19" fillId="34" borderId="68" xfId="0" applyFont="1" applyFill="1" applyBorder="1" applyAlignment="1">
      <alignment horizontal="center" vertical="center"/>
    </xf>
    <xf numFmtId="0" fontId="19" fillId="34" borderId="61" xfId="0" applyFont="1" applyFill="1" applyBorder="1" applyAlignment="1" quotePrefix="1">
      <alignment horizontal="center"/>
    </xf>
    <xf numFmtId="0" fontId="19" fillId="34" borderId="17" xfId="0" applyFont="1" applyFill="1" applyBorder="1" applyAlignment="1" quotePrefix="1">
      <alignment horizontal="center"/>
    </xf>
    <xf numFmtId="0" fontId="19" fillId="0" borderId="61" xfId="0" applyFont="1" applyBorder="1" applyAlignment="1" quotePrefix="1">
      <alignment horizontal="center"/>
    </xf>
    <xf numFmtId="0" fontId="19" fillId="0" borderId="17" xfId="0" applyFont="1" applyBorder="1" applyAlignment="1" quotePrefix="1">
      <alignment horizontal="center"/>
    </xf>
    <xf numFmtId="0" fontId="19" fillId="34" borderId="64" xfId="0" applyFont="1" applyFill="1" applyBorder="1" applyAlignment="1" quotePrefix="1">
      <alignment horizontal="center"/>
    </xf>
    <xf numFmtId="0" fontId="19" fillId="34" borderId="65" xfId="0" applyFont="1" applyFill="1" applyBorder="1" applyAlignment="1" quotePrefix="1">
      <alignment horizontal="center"/>
    </xf>
    <xf numFmtId="0" fontId="19" fillId="34" borderId="12" xfId="0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9" fillId="34" borderId="32" xfId="0" applyFont="1" applyFill="1" applyBorder="1" applyAlignment="1">
      <alignment vertical="center" wrapText="1"/>
    </xf>
    <xf numFmtId="0" fontId="19" fillId="34" borderId="30" xfId="0" applyFont="1" applyFill="1" applyBorder="1" applyAlignment="1">
      <alignment horizontal="center" vertical="center"/>
    </xf>
    <xf numFmtId="0" fontId="19" fillId="34" borderId="30" xfId="0" applyFont="1" applyFill="1" applyBorder="1" applyAlignment="1">
      <alignment horizontal="right" vertical="center"/>
    </xf>
    <xf numFmtId="0" fontId="19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right" vertical="center"/>
    </xf>
    <xf numFmtId="9" fontId="19" fillId="0" borderId="14" xfId="48" applyFont="1" applyBorder="1" applyAlignment="1">
      <alignment horizontal="right" vertical="center"/>
    </xf>
    <xf numFmtId="9" fontId="19" fillId="34" borderId="14" xfId="48" applyFont="1" applyFill="1" applyBorder="1" applyAlignment="1">
      <alignment horizontal="right" vertical="center"/>
    </xf>
    <xf numFmtId="0" fontId="19" fillId="0" borderId="36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9" fillId="34" borderId="40" xfId="0" applyFont="1" applyFill="1" applyBorder="1" applyAlignment="1">
      <alignment horizontal="center" vertical="center" wrapText="1"/>
    </xf>
    <xf numFmtId="0" fontId="19" fillId="34" borderId="34" xfId="0" applyFont="1" applyFill="1" applyBorder="1" applyAlignment="1">
      <alignment horizontal="center" vertical="center" wrapText="1"/>
    </xf>
    <xf numFmtId="0" fontId="19" fillId="34" borderId="62" xfId="0" applyFont="1" applyFill="1" applyBorder="1" applyAlignment="1">
      <alignment vertical="center" wrapText="1"/>
    </xf>
    <xf numFmtId="0" fontId="19" fillId="34" borderId="64" xfId="0" applyFont="1" applyFill="1" applyBorder="1" applyAlignment="1">
      <alignment vertical="center" wrapText="1"/>
    </xf>
    <xf numFmtId="0" fontId="19" fillId="34" borderId="63" xfId="0" applyFont="1" applyFill="1" applyBorder="1" applyAlignment="1">
      <alignment horizontal="center" vertical="center" wrapText="1"/>
    </xf>
    <xf numFmtId="0" fontId="19" fillId="34" borderId="65" xfId="0" applyFont="1" applyFill="1" applyBorder="1" applyAlignment="1">
      <alignment horizontal="center" vertical="center" wrapText="1"/>
    </xf>
    <xf numFmtId="0" fontId="19" fillId="34" borderId="45" xfId="0" applyFont="1" applyFill="1" applyBorder="1" applyAlignment="1">
      <alignment horizontal="right" vertical="center"/>
    </xf>
    <xf numFmtId="0" fontId="19" fillId="34" borderId="33" xfId="0" applyFont="1" applyFill="1" applyBorder="1" applyAlignment="1">
      <alignment horizontal="right" vertical="center"/>
    </xf>
    <xf numFmtId="0" fontId="19" fillId="0" borderId="61" xfId="0" applyFont="1" applyBorder="1" applyAlignment="1" quotePrefix="1">
      <alignment horizontal="center" vertical="center"/>
    </xf>
    <xf numFmtId="0" fontId="19" fillId="0" borderId="17" xfId="0" applyFont="1" applyBorder="1" applyAlignment="1" quotePrefix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34" borderId="37" xfId="0" applyFont="1" applyFill="1" applyBorder="1" applyAlignment="1">
      <alignment horizontal="center" vertical="center"/>
    </xf>
    <xf numFmtId="0" fontId="19" fillId="34" borderId="70" xfId="0" applyFont="1" applyFill="1" applyBorder="1" applyAlignment="1">
      <alignment horizontal="center" vertical="center"/>
    </xf>
    <xf numFmtId="0" fontId="19" fillId="33" borderId="71" xfId="0" applyFont="1" applyFill="1" applyBorder="1" applyAlignment="1">
      <alignment horizontal="center" vertical="center" wrapText="1"/>
    </xf>
    <xf numFmtId="0" fontId="19" fillId="33" borderId="37" xfId="0" applyFont="1" applyFill="1" applyBorder="1" applyAlignment="1">
      <alignment horizontal="center" vertical="center" wrapText="1"/>
    </xf>
    <xf numFmtId="0" fontId="19" fillId="33" borderId="57" xfId="0" applyFont="1" applyFill="1" applyBorder="1" applyAlignment="1">
      <alignment horizontal="center" vertical="center"/>
    </xf>
    <xf numFmtId="0" fontId="19" fillId="33" borderId="56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34" borderId="15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72" xfId="0" applyFont="1" applyBorder="1" applyAlignment="1">
      <alignment horizontal="left" vertical="top" wrapText="1"/>
    </xf>
    <xf numFmtId="0" fontId="19" fillId="33" borderId="58" xfId="0" applyFont="1" applyFill="1" applyBorder="1" applyAlignment="1">
      <alignment horizontal="center" vertical="center"/>
    </xf>
    <xf numFmtId="0" fontId="19" fillId="33" borderId="60" xfId="0" applyFont="1" applyFill="1" applyBorder="1" applyAlignment="1">
      <alignment horizontal="center" vertical="center"/>
    </xf>
    <xf numFmtId="0" fontId="19" fillId="34" borderId="38" xfId="0" applyFont="1" applyFill="1" applyBorder="1" applyAlignment="1">
      <alignment horizontal="center" vertical="center"/>
    </xf>
    <xf numFmtId="0" fontId="19" fillId="34" borderId="7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44" fontId="56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10</xdr:row>
      <xdr:rowOff>152400</xdr:rowOff>
    </xdr:from>
    <xdr:to>
      <xdr:col>0</xdr:col>
      <xdr:colOff>438150</xdr:colOff>
      <xdr:row>13</xdr:row>
      <xdr:rowOff>57150</xdr:rowOff>
    </xdr:to>
    <xdr:sp>
      <xdr:nvSpPr>
        <xdr:cNvPr id="1" name="Freccia in su 1"/>
        <xdr:cNvSpPr>
          <a:spLocks/>
        </xdr:cNvSpPr>
      </xdr:nvSpPr>
      <xdr:spPr>
        <a:xfrm>
          <a:off x="171450" y="2609850"/>
          <a:ext cx="266700" cy="542925"/>
        </a:xfrm>
        <a:prstGeom prst="upArrow">
          <a:avLst>
            <a:gd name="adj" fmla="val -1800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295275</xdr:colOff>
      <xdr:row>10</xdr:row>
      <xdr:rowOff>95250</xdr:rowOff>
    </xdr:from>
    <xdr:to>
      <xdr:col>2</xdr:col>
      <xdr:colOff>600075</xdr:colOff>
      <xdr:row>13</xdr:row>
      <xdr:rowOff>28575</xdr:rowOff>
    </xdr:to>
    <xdr:sp>
      <xdr:nvSpPr>
        <xdr:cNvPr id="2" name="Freccia in su 2"/>
        <xdr:cNvSpPr>
          <a:spLocks/>
        </xdr:cNvSpPr>
      </xdr:nvSpPr>
      <xdr:spPr>
        <a:xfrm>
          <a:off x="4429125" y="2552700"/>
          <a:ext cx="304800" cy="571500"/>
        </a:xfrm>
        <a:prstGeom prst="upArrow">
          <a:avLst>
            <a:gd name="adj" fmla="val -1981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400050</xdr:colOff>
      <xdr:row>10</xdr:row>
      <xdr:rowOff>95250</xdr:rowOff>
    </xdr:from>
    <xdr:to>
      <xdr:col>4</xdr:col>
      <xdr:colOff>704850</xdr:colOff>
      <xdr:row>13</xdr:row>
      <xdr:rowOff>28575</xdr:rowOff>
    </xdr:to>
    <xdr:sp>
      <xdr:nvSpPr>
        <xdr:cNvPr id="3" name="Freccia in su 3"/>
        <xdr:cNvSpPr>
          <a:spLocks/>
        </xdr:cNvSpPr>
      </xdr:nvSpPr>
      <xdr:spPr>
        <a:xfrm>
          <a:off x="6315075" y="2552700"/>
          <a:ext cx="304800" cy="571500"/>
        </a:xfrm>
        <a:prstGeom prst="upArrow">
          <a:avLst>
            <a:gd name="adj" fmla="val -1981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457200</xdr:colOff>
      <xdr:row>10</xdr:row>
      <xdr:rowOff>104775</xdr:rowOff>
    </xdr:from>
    <xdr:to>
      <xdr:col>5</xdr:col>
      <xdr:colOff>762000</xdr:colOff>
      <xdr:row>13</xdr:row>
      <xdr:rowOff>38100</xdr:rowOff>
    </xdr:to>
    <xdr:sp>
      <xdr:nvSpPr>
        <xdr:cNvPr id="4" name="Freccia in su 4"/>
        <xdr:cNvSpPr>
          <a:spLocks/>
        </xdr:cNvSpPr>
      </xdr:nvSpPr>
      <xdr:spPr>
        <a:xfrm>
          <a:off x="7486650" y="2562225"/>
          <a:ext cx="304800" cy="571500"/>
        </a:xfrm>
        <a:prstGeom prst="upArrow">
          <a:avLst>
            <a:gd name="adj" fmla="val -1981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114300</xdr:rowOff>
    </xdr:from>
    <xdr:to>
      <xdr:col>7</xdr:col>
      <xdr:colOff>695325</xdr:colOff>
      <xdr:row>13</xdr:row>
      <xdr:rowOff>47625</xdr:rowOff>
    </xdr:to>
    <xdr:sp>
      <xdr:nvSpPr>
        <xdr:cNvPr id="5" name="Freccia in su 5"/>
        <xdr:cNvSpPr>
          <a:spLocks/>
        </xdr:cNvSpPr>
      </xdr:nvSpPr>
      <xdr:spPr>
        <a:xfrm>
          <a:off x="9401175" y="2571750"/>
          <a:ext cx="304800" cy="571500"/>
        </a:xfrm>
        <a:prstGeom prst="upArrow">
          <a:avLst>
            <a:gd name="adj" fmla="val -1981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10</xdr:row>
      <xdr:rowOff>95250</xdr:rowOff>
    </xdr:from>
    <xdr:to>
      <xdr:col>9</xdr:col>
      <xdr:colOff>476250</xdr:colOff>
      <xdr:row>13</xdr:row>
      <xdr:rowOff>28575</xdr:rowOff>
    </xdr:to>
    <xdr:sp>
      <xdr:nvSpPr>
        <xdr:cNvPr id="6" name="Freccia in su 9"/>
        <xdr:cNvSpPr>
          <a:spLocks/>
        </xdr:cNvSpPr>
      </xdr:nvSpPr>
      <xdr:spPr>
        <a:xfrm>
          <a:off x="11106150" y="2552700"/>
          <a:ext cx="304800" cy="571500"/>
        </a:xfrm>
        <a:prstGeom prst="upArrow">
          <a:avLst>
            <a:gd name="adj" fmla="val -1981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533400</xdr:colOff>
      <xdr:row>10</xdr:row>
      <xdr:rowOff>123825</xdr:rowOff>
    </xdr:from>
    <xdr:to>
      <xdr:col>17</xdr:col>
      <xdr:colOff>171450</xdr:colOff>
      <xdr:row>13</xdr:row>
      <xdr:rowOff>57150</xdr:rowOff>
    </xdr:to>
    <xdr:sp>
      <xdr:nvSpPr>
        <xdr:cNvPr id="7" name="Freccia in su 10"/>
        <xdr:cNvSpPr>
          <a:spLocks/>
        </xdr:cNvSpPr>
      </xdr:nvSpPr>
      <xdr:spPr>
        <a:xfrm>
          <a:off x="16411575" y="2581275"/>
          <a:ext cx="304800" cy="571500"/>
        </a:xfrm>
        <a:prstGeom prst="upArrow">
          <a:avLst>
            <a:gd name="adj" fmla="val -1981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466725</xdr:colOff>
      <xdr:row>10</xdr:row>
      <xdr:rowOff>161925</xdr:rowOff>
    </xdr:from>
    <xdr:to>
      <xdr:col>21</xdr:col>
      <xdr:colOff>171450</xdr:colOff>
      <xdr:row>13</xdr:row>
      <xdr:rowOff>95250</xdr:rowOff>
    </xdr:to>
    <xdr:sp>
      <xdr:nvSpPr>
        <xdr:cNvPr id="8" name="Freccia in su 11"/>
        <xdr:cNvSpPr>
          <a:spLocks/>
        </xdr:cNvSpPr>
      </xdr:nvSpPr>
      <xdr:spPr>
        <a:xfrm>
          <a:off x="18907125" y="2619375"/>
          <a:ext cx="304800" cy="571500"/>
        </a:xfrm>
        <a:prstGeom prst="upArrow">
          <a:avLst>
            <a:gd name="adj" fmla="val -1981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47625</xdr:colOff>
      <xdr:row>19</xdr:row>
      <xdr:rowOff>95250</xdr:rowOff>
    </xdr:from>
    <xdr:ext cx="1733550" cy="295275"/>
    <xdr:sp>
      <xdr:nvSpPr>
        <xdr:cNvPr id="9" name="CasellaDiTesto 6"/>
        <xdr:cNvSpPr txBox="1">
          <a:spLocks noChangeArrowheads="1"/>
        </xdr:cNvSpPr>
      </xdr:nvSpPr>
      <xdr:spPr>
        <a:xfrm>
          <a:off x="5276850" y="4848225"/>
          <a:ext cx="1733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G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[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eq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K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]^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0,5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X 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Y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 =
</a:t>
          </a:r>
        </a:p>
      </xdr:txBody>
    </xdr:sp>
    <xdr:clientData/>
  </xdr:oneCellAnchor>
  <xdr:oneCellAnchor>
    <xdr:from>
      <xdr:col>3</xdr:col>
      <xdr:colOff>619125</xdr:colOff>
      <xdr:row>20</xdr:row>
      <xdr:rowOff>142875</xdr:rowOff>
    </xdr:from>
    <xdr:ext cx="1724025" cy="295275"/>
    <xdr:sp>
      <xdr:nvSpPr>
        <xdr:cNvPr id="10" name="CasellaDiTesto 12"/>
        <xdr:cNvSpPr txBox="1">
          <a:spLocks noChangeArrowheads="1"/>
        </xdr:cNvSpPr>
      </xdr:nvSpPr>
      <xdr:spPr>
        <a:xfrm>
          <a:off x="5848350" y="5324475"/>
          <a:ext cx="1724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h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i=G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  .A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i∙D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i∙I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 =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4</xdr:row>
      <xdr:rowOff>123825</xdr:rowOff>
    </xdr:from>
    <xdr:to>
      <xdr:col>3</xdr:col>
      <xdr:colOff>752475</xdr:colOff>
      <xdr:row>7</xdr:row>
      <xdr:rowOff>123825</xdr:rowOff>
    </xdr:to>
    <xdr:sp>
      <xdr:nvSpPr>
        <xdr:cNvPr id="1" name="Freccia in su 1"/>
        <xdr:cNvSpPr>
          <a:spLocks/>
        </xdr:cNvSpPr>
      </xdr:nvSpPr>
      <xdr:spPr>
        <a:xfrm>
          <a:off x="6657975" y="1943100"/>
          <a:ext cx="304800" cy="571500"/>
        </a:xfrm>
        <a:prstGeom prst="upArrow">
          <a:avLst>
            <a:gd name="adj" fmla="val -23333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457200</xdr:colOff>
      <xdr:row>4</xdr:row>
      <xdr:rowOff>161925</xdr:rowOff>
    </xdr:from>
    <xdr:to>
      <xdr:col>1</xdr:col>
      <xdr:colOff>152400</xdr:colOff>
      <xdr:row>7</xdr:row>
      <xdr:rowOff>161925</xdr:rowOff>
    </xdr:to>
    <xdr:sp>
      <xdr:nvSpPr>
        <xdr:cNvPr id="2" name="Freccia in su 2"/>
        <xdr:cNvSpPr>
          <a:spLocks/>
        </xdr:cNvSpPr>
      </xdr:nvSpPr>
      <xdr:spPr>
        <a:xfrm>
          <a:off x="457200" y="1981200"/>
          <a:ext cx="304800" cy="571500"/>
        </a:xfrm>
        <a:prstGeom prst="upArrow">
          <a:avLst>
            <a:gd name="adj" fmla="val -23333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</xdr:row>
      <xdr:rowOff>85725</xdr:rowOff>
    </xdr:from>
    <xdr:to>
      <xdr:col>0</xdr:col>
      <xdr:colOff>457200</xdr:colOff>
      <xdr:row>8</xdr:row>
      <xdr:rowOff>19050</xdr:rowOff>
    </xdr:to>
    <xdr:sp>
      <xdr:nvSpPr>
        <xdr:cNvPr id="1" name="Freccia in su 1"/>
        <xdr:cNvSpPr>
          <a:spLocks/>
        </xdr:cNvSpPr>
      </xdr:nvSpPr>
      <xdr:spPr>
        <a:xfrm>
          <a:off x="152400" y="2247900"/>
          <a:ext cx="304800" cy="504825"/>
        </a:xfrm>
        <a:prstGeom prst="upArrow">
          <a:avLst>
            <a:gd name="adj" fmla="val -1800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28575</xdr:rowOff>
    </xdr:from>
    <xdr:to>
      <xdr:col>2</xdr:col>
      <xdr:colOff>581025</xdr:colOff>
      <xdr:row>7</xdr:row>
      <xdr:rowOff>152400</xdr:rowOff>
    </xdr:to>
    <xdr:sp>
      <xdr:nvSpPr>
        <xdr:cNvPr id="2" name="Freccia in su 2"/>
        <xdr:cNvSpPr>
          <a:spLocks/>
        </xdr:cNvSpPr>
      </xdr:nvSpPr>
      <xdr:spPr>
        <a:xfrm>
          <a:off x="4581525" y="2190750"/>
          <a:ext cx="304800" cy="504825"/>
        </a:xfrm>
        <a:prstGeom prst="upArrow">
          <a:avLst>
            <a:gd name="adj" fmla="val -18629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485775</xdr:colOff>
      <xdr:row>5</xdr:row>
      <xdr:rowOff>66675</xdr:rowOff>
    </xdr:from>
    <xdr:to>
      <xdr:col>4</xdr:col>
      <xdr:colOff>790575</xdr:colOff>
      <xdr:row>8</xdr:row>
      <xdr:rowOff>0</xdr:rowOff>
    </xdr:to>
    <xdr:sp>
      <xdr:nvSpPr>
        <xdr:cNvPr id="3" name="Freccia in su 3"/>
        <xdr:cNvSpPr>
          <a:spLocks/>
        </xdr:cNvSpPr>
      </xdr:nvSpPr>
      <xdr:spPr>
        <a:xfrm>
          <a:off x="6572250" y="2228850"/>
          <a:ext cx="304800" cy="504825"/>
        </a:xfrm>
        <a:prstGeom prst="upArrow">
          <a:avLst>
            <a:gd name="adj" fmla="val -19810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5</xdr:row>
      <xdr:rowOff>38100</xdr:rowOff>
    </xdr:from>
    <xdr:to>
      <xdr:col>5</xdr:col>
      <xdr:colOff>742950</xdr:colOff>
      <xdr:row>7</xdr:row>
      <xdr:rowOff>161925</xdr:rowOff>
    </xdr:to>
    <xdr:sp>
      <xdr:nvSpPr>
        <xdr:cNvPr id="4" name="Freccia in su 4"/>
        <xdr:cNvSpPr>
          <a:spLocks/>
        </xdr:cNvSpPr>
      </xdr:nvSpPr>
      <xdr:spPr>
        <a:xfrm>
          <a:off x="7639050" y="2200275"/>
          <a:ext cx="304800" cy="504825"/>
        </a:xfrm>
        <a:prstGeom prst="upArrow">
          <a:avLst>
            <a:gd name="adj" fmla="val -18629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371475</xdr:colOff>
      <xdr:row>5</xdr:row>
      <xdr:rowOff>47625</xdr:rowOff>
    </xdr:from>
    <xdr:to>
      <xdr:col>7</xdr:col>
      <xdr:colOff>676275</xdr:colOff>
      <xdr:row>7</xdr:row>
      <xdr:rowOff>171450</xdr:rowOff>
    </xdr:to>
    <xdr:sp>
      <xdr:nvSpPr>
        <xdr:cNvPr id="5" name="Freccia in su 5"/>
        <xdr:cNvSpPr>
          <a:spLocks/>
        </xdr:cNvSpPr>
      </xdr:nvSpPr>
      <xdr:spPr>
        <a:xfrm>
          <a:off x="9553575" y="2209800"/>
          <a:ext cx="304800" cy="504825"/>
        </a:xfrm>
        <a:prstGeom prst="upArrow">
          <a:avLst>
            <a:gd name="adj" fmla="val -18629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85725</xdr:colOff>
      <xdr:row>8</xdr:row>
      <xdr:rowOff>28575</xdr:rowOff>
    </xdr:from>
    <xdr:to>
      <xdr:col>8</xdr:col>
      <xdr:colOff>647700</xdr:colOff>
      <xdr:row>9</xdr:row>
      <xdr:rowOff>133350</xdr:rowOff>
    </xdr:to>
    <xdr:sp>
      <xdr:nvSpPr>
        <xdr:cNvPr id="6" name="Freccia a destra 6"/>
        <xdr:cNvSpPr>
          <a:spLocks/>
        </xdr:cNvSpPr>
      </xdr:nvSpPr>
      <xdr:spPr>
        <a:xfrm>
          <a:off x="10477500" y="2762250"/>
          <a:ext cx="561975" cy="295275"/>
        </a:xfrm>
        <a:prstGeom prst="rightArrow">
          <a:avLst>
            <a:gd name="adj" fmla="val 24574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rgb="FFFF0000"/>
  </sheetPr>
  <dimension ref="A1:AU49"/>
  <sheetViews>
    <sheetView showGridLines="0" zoomScalePageLayoutView="0" workbookViewId="0" topLeftCell="A1">
      <selection activeCell="J4" sqref="J4"/>
    </sheetView>
  </sheetViews>
  <sheetFormatPr defaultColWidth="9.00390625" defaultRowHeight="15"/>
  <cols>
    <col min="1" max="1" width="6.57421875" style="0" customWidth="1"/>
    <col min="2" max="2" width="55.421875" style="0" customWidth="1"/>
    <col min="3" max="3" width="16.421875" style="0" customWidth="1"/>
    <col min="4" max="4" width="10.28125" style="6" customWidth="1"/>
    <col min="5" max="5" width="16.7109375" style="0" bestFit="1" customWidth="1"/>
    <col min="6" max="6" width="19.140625" style="0" customWidth="1"/>
    <col min="7" max="7" width="10.57421875" style="0" customWidth="1"/>
    <col min="8" max="8" width="18.140625" style="0" customWidth="1"/>
    <col min="9" max="11" width="10.7109375" style="0" customWidth="1"/>
    <col min="12" max="12" width="10.57421875" style="0" customWidth="1"/>
    <col min="13" max="15" width="10.7109375" style="0" customWidth="1"/>
    <col min="16" max="16" width="10.00390625" style="0" bestFit="1" customWidth="1"/>
    <col min="17" max="18" width="10.00390625" style="0" customWidth="1"/>
    <col min="19" max="19" width="9.421875" style="0" customWidth="1"/>
    <col min="20" max="26" width="9.00390625" style="0" customWidth="1"/>
    <col min="27" max="29" width="9.00390625" style="0" hidden="1" customWidth="1"/>
    <col min="30" max="30" width="9.140625" style="0" hidden="1" customWidth="1"/>
    <col min="31" max="33" width="9.00390625" style="0" hidden="1" customWidth="1"/>
    <col min="34" max="34" width="13.421875" style="0" hidden="1" customWidth="1"/>
    <col min="35" max="35" width="9.7109375" style="0" hidden="1" customWidth="1"/>
    <col min="36" max="45" width="9.00390625" style="0" hidden="1" customWidth="1"/>
    <col min="46" max="46" width="9.00390625" style="0" customWidth="1"/>
    <col min="47" max="47" width="16.421875" style="0" hidden="1" customWidth="1"/>
    <col min="48" max="92" width="9.00390625" style="0" customWidth="1"/>
  </cols>
  <sheetData>
    <row r="1" spans="3:25" ht="19.5" thickBot="1">
      <c r="C1" s="195" t="s">
        <v>353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7"/>
      <c r="Q1" s="190" t="s">
        <v>354</v>
      </c>
      <c r="R1" s="190"/>
      <c r="S1" s="190"/>
      <c r="T1" s="190"/>
      <c r="U1" s="190"/>
      <c r="V1" s="190"/>
      <c r="W1" s="190"/>
      <c r="X1" s="190"/>
      <c r="Y1" s="191"/>
    </row>
    <row r="2" spans="3:25" ht="15">
      <c r="C2" s="192" t="s">
        <v>256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4"/>
      <c r="Q2" s="198" t="s">
        <v>302</v>
      </c>
      <c r="R2" s="199"/>
      <c r="S2" s="200" t="s">
        <v>295</v>
      </c>
      <c r="T2" s="198"/>
      <c r="U2" s="198"/>
      <c r="V2" s="198"/>
      <c r="W2" s="199"/>
      <c r="X2" s="67"/>
      <c r="Y2" s="87"/>
    </row>
    <row r="3" spans="1:45" ht="48.75" customHeight="1">
      <c r="A3" s="37" t="s">
        <v>369</v>
      </c>
      <c r="B3" s="49" t="s">
        <v>3</v>
      </c>
      <c r="C3" s="81" t="s">
        <v>227</v>
      </c>
      <c r="D3" s="49" t="s">
        <v>14</v>
      </c>
      <c r="E3" s="80" t="s">
        <v>229</v>
      </c>
      <c r="F3" s="37" t="s">
        <v>230</v>
      </c>
      <c r="G3" s="37" t="s">
        <v>231</v>
      </c>
      <c r="H3" s="37" t="s">
        <v>232</v>
      </c>
      <c r="I3" s="37" t="s">
        <v>233</v>
      </c>
      <c r="J3" s="37" t="s">
        <v>338</v>
      </c>
      <c r="K3" s="49" t="s">
        <v>339</v>
      </c>
      <c r="L3" s="49" t="s">
        <v>340</v>
      </c>
      <c r="M3" s="49" t="s">
        <v>341</v>
      </c>
      <c r="N3" s="49" t="s">
        <v>342</v>
      </c>
      <c r="O3" s="49" t="s">
        <v>343</v>
      </c>
      <c r="P3" s="82" t="s">
        <v>352</v>
      </c>
      <c r="Q3" s="80" t="s">
        <v>294</v>
      </c>
      <c r="R3" s="51" t="s">
        <v>296</v>
      </c>
      <c r="S3" s="50" t="s">
        <v>348</v>
      </c>
      <c r="T3" s="37" t="s">
        <v>355</v>
      </c>
      <c r="U3" s="37" t="s">
        <v>356</v>
      </c>
      <c r="V3" s="37" t="s">
        <v>357</v>
      </c>
      <c r="W3" s="51" t="s">
        <v>358</v>
      </c>
      <c r="X3" s="68" t="s">
        <v>359</v>
      </c>
      <c r="Y3" s="82" t="s">
        <v>378</v>
      </c>
      <c r="AF3" s="1" t="s">
        <v>17</v>
      </c>
      <c r="AG3" s="1" t="s">
        <v>18</v>
      </c>
      <c r="AH3" s="1" t="s">
        <v>19</v>
      </c>
      <c r="AI3" s="1" t="s">
        <v>22</v>
      </c>
      <c r="AJ3" s="1" t="s">
        <v>23</v>
      </c>
      <c r="AK3" s="1" t="s">
        <v>24</v>
      </c>
      <c r="AL3" s="1" t="s">
        <v>25</v>
      </c>
      <c r="AM3" s="1" t="s">
        <v>26</v>
      </c>
      <c r="AN3" s="2" t="s">
        <v>31</v>
      </c>
      <c r="AO3" s="2" t="s">
        <v>32</v>
      </c>
      <c r="AP3" s="2" t="s">
        <v>77</v>
      </c>
      <c r="AQ3" s="2" t="s">
        <v>78</v>
      </c>
      <c r="AR3" s="2" t="s">
        <v>192</v>
      </c>
      <c r="AS3" s="2" t="s">
        <v>191</v>
      </c>
    </row>
    <row r="4" spans="1:47" s="3" customFormat="1" ht="110.25" customHeight="1" thickBot="1">
      <c r="A4" s="23">
        <v>75</v>
      </c>
      <c r="B4" s="91" t="str">
        <f>+VLOOKUP($A4,TabAtt,2,FALSE)</f>
        <v>Autorimesse pubbliche e private, parcheggi pluriplano e meccanizzati di superficie complessiva superiore a 300 m2; locali adibiti al ricovero di natanti ed aeromobili di superficie superiore a 500 m2; depositi di mezzi rotabili al chiuso (treni, tram ecc.) di superficie superiore a 1000 m2</v>
      </c>
      <c r="C4" s="93" t="s">
        <v>47</v>
      </c>
      <c r="D4" s="94" t="str">
        <f ca="1">+VLOOKUP(C4,INDIRECT(ADDRESS(AF4,4,1,,"PARAMETRI ATTIVITA")&amp;":"&amp;+ADDRESS(AF4+5,12,1,,)),2,FALSE)</f>
        <v>m²</v>
      </c>
      <c r="E4" s="90">
        <v>4500</v>
      </c>
      <c r="F4" s="83" t="s">
        <v>243</v>
      </c>
      <c r="G4" s="189">
        <v>2</v>
      </c>
      <c r="H4" s="83" t="s">
        <v>161</v>
      </c>
      <c r="I4" s="102"/>
      <c r="J4" s="84" t="s">
        <v>200</v>
      </c>
      <c r="K4" s="85" t="s">
        <v>259</v>
      </c>
      <c r="L4" s="85" t="s">
        <v>259</v>
      </c>
      <c r="M4" s="103"/>
      <c r="N4" s="103" t="s">
        <v>259</v>
      </c>
      <c r="O4" s="103"/>
      <c r="P4" s="86">
        <f>+PARHF1</f>
        <v>288</v>
      </c>
      <c r="Q4" s="92" t="s">
        <v>258</v>
      </c>
      <c r="R4" s="88" t="s">
        <v>266</v>
      </c>
      <c r="S4" s="185"/>
      <c r="T4" s="186"/>
      <c r="U4" s="186"/>
      <c r="V4" s="186"/>
      <c r="W4" s="187"/>
      <c r="X4" s="188"/>
      <c r="Y4" s="89">
        <f>+PARHF2</f>
        <v>153.60000000000002</v>
      </c>
      <c r="AF4" s="4">
        <f>+VLOOKUP($A4,TabAtt,3,FALSE)</f>
        <v>106</v>
      </c>
      <c r="AG4" s="4">
        <f>+VLOOKUP($A4+1,TabAtt,3,FALSE)-AF4</f>
        <v>2</v>
      </c>
      <c r="AH4" s="4" t="str">
        <f>+ADDRESS(AF4,4,1,,"PARAMETRI ATTIVITA")</f>
        <v>'PARAMETRI ATTIVITA'!$D$106</v>
      </c>
      <c r="AI4" s="5">
        <f ca="1">+IF(E10="",VLOOKUP(C4,INDIRECT(ADDRESS(AF4,4,1,,"PARAMETRI ATTIVITA")&amp;":"&amp;+ADDRESS(AF4+5,12,1,,)),3,FALSE),E10)</f>
        <v>6</v>
      </c>
      <c r="AJ4" s="4" t="str">
        <f>+ADDRESS(AF4,7,1,,"PARAMETRI ATTIVITA")</f>
        <v>'PARAMETRI ATTIVITA'!$G$106</v>
      </c>
      <c r="AK4" s="4">
        <f>+IF(G8="",IF(AU4="F",IF(G4=0,1,IF((G4*AP4-AQ4)/G4&lt;=1,1,(G4*AP4-AQ4)/G4)),AU4),G8)</f>
        <v>1.6</v>
      </c>
      <c r="AL4" s="4" t="str">
        <f>+ADDRESS(AF4,9,1,,"PARAMETRI ATTIVITA")</f>
        <v>'PARAMETRI ATTIVITA'!$I$106</v>
      </c>
      <c r="AM4" s="4">
        <f ca="1">+IF(I8="",IF(A4=68,1,VLOOKUP(H4,INDIRECT(ADDRESS(AF4,9,1,,"PARAMETRI ATTIVITA")&amp;":"&amp;+ADDRESS(AF4+5,108,1,,)),2,FALSE)),I8)</f>
        <v>1</v>
      </c>
      <c r="AN4" s="3">
        <f ca="1">+IF(E6="",VLOOKUP(C4,INDIRECT(ADDRESS(AF4,4,1,,"PARAMETRI ATTIVITA")&amp;":"&amp;+ADDRESS(AF4+5,12,1,,)),8,FALSE),E6)</f>
        <v>1000</v>
      </c>
      <c r="AO4" s="3">
        <f ca="1">+IF(E8="",VLOOKUP(C4,INDIRECT(ADDRESS(AF4,4,1,,"PARAMETRI ATTIVITA")&amp;":"&amp;+ADDRESS(AF4+5,12,1,,)),9,FALSE),E8)</f>
        <v>0.4</v>
      </c>
      <c r="AP4" s="3">
        <f>+IF(ISERROR(VLOOKUP($A4,TabAtt,13,FALSE))=FALSE,VLOOKUP($A4,TabAtt,13,FALSE),1)</f>
        <v>2</v>
      </c>
      <c r="AQ4" s="3">
        <f>+IF(ISERROR(VLOOKUP($A4,TabAtt,14,FALSE))=FALSE,VLOOKUP($A4,TabAtt,14,FALSE),1)</f>
        <v>0.8</v>
      </c>
      <c r="AR4" s="3">
        <f>+E4</f>
        <v>4500</v>
      </c>
      <c r="AS4" s="3">
        <f ca="1">+IF(A4=68,G4*VLOOKUP(F4,INDIRECT(ADDRESS(AF4,7,1,,"PARAMETRI ATTIVITA")&amp;":"&amp;+ADDRESS(AF4+5,8,1,,)),2,FALSE)+I4*VLOOKUP(H4,INDIRECT(ADDRESS(AF4,9,1,,"PARAMETRI ATTIVITA")&amp;":"&amp;+ADDRESS(AF4+5,108,1,,)),2,FALSE),0)</f>
        <v>0</v>
      </c>
      <c r="AU4" s="3" t="str">
        <f ca="1">+IF(A4=68,"1",VLOOKUP(F4,INDIRECT(ADDRESS(AF4,7,1,,"PARAMETRI ATTIVITA")&amp;":"&amp;+ADDRESS(AF4+5,8,1,,)),2,FALSE))</f>
        <v>F</v>
      </c>
    </row>
    <row r="5" spans="4:39" ht="15" hidden="1">
      <c r="D5" s="8" t="str">
        <f>+"Limite superiore ["&amp;D4&amp;"] ="</f>
        <v>Limite superiore [m²] =</v>
      </c>
      <c r="E5">
        <f ca="1">+INDIRECT(ADDRESS(AF4,11,1,,"PARAMETRI ATTIVITA"))</f>
        <v>1000</v>
      </c>
      <c r="F5" s="10" t="s">
        <v>83</v>
      </c>
      <c r="G5" t="str">
        <f ca="1">+INDIRECT(ADDRESS(AF4,15,1,,"PARAMETRI ATTIVITA"))</f>
        <v>Y = (2P-1)/P [curva asintotica verso 2]</v>
      </c>
      <c r="O5">
        <f>1+0.2*O4</f>
        <v>1</v>
      </c>
      <c r="Q5">
        <f>+IF(Q4="SI",Q8,0)</f>
        <v>1</v>
      </c>
      <c r="R5">
        <f>+IF(R4="A",R8,1)</f>
        <v>0.8</v>
      </c>
      <c r="S5">
        <f>+IF(S4="SI",1,0)</f>
        <v>0</v>
      </c>
      <c r="T5">
        <f>+IF(S4="SI",1,0)</f>
        <v>0</v>
      </c>
      <c r="U5">
        <f>+IF(S4="SI",1,0)</f>
        <v>0</v>
      </c>
      <c r="W5">
        <f>+IF(W4="SI",1,0)</f>
        <v>0</v>
      </c>
      <c r="X5">
        <f>+IF(X4="SI",IF(R4="A",0,1),0)</f>
        <v>0</v>
      </c>
      <c r="Y5">
        <f>+IF(Y4="SI",Y8,0)</f>
        <v>0</v>
      </c>
      <c r="AF5" s="1">
        <f ca="1">+VLOOKUP(C4,INDIRECT(ADDRESS(AF4,4,1,,"PARAMETRI ATTIVITA")&amp;":"&amp;+ADDRESS(AF4+5,20,1,,)),16,FALSE)</f>
        <v>106</v>
      </c>
      <c r="AG5" s="1"/>
      <c r="AH5" s="1" t="str">
        <f>+ADDRESS(AF4,4,1,,"PARAMETRI ATTIVITA")&amp;":"&amp;+ADDRESS(AF4+5,12,1,,)</f>
        <v>'PARAMETRI ATTIVITA'!$D$106:$L$111</v>
      </c>
      <c r="AI5" s="1"/>
      <c r="AJ5" s="1"/>
      <c r="AK5" s="1"/>
      <c r="AL5" s="1"/>
      <c r="AM5" s="1"/>
    </row>
    <row r="6" spans="4:39" ht="15" hidden="1">
      <c r="D6" s="32" t="str">
        <f>+"Modifica Limite superiore ["&amp;D4&amp;"] ="</f>
        <v>Modifica Limite superiore [m²] =</v>
      </c>
      <c r="E6" s="36"/>
      <c r="F6" s="10"/>
      <c r="T6">
        <f>+IF(T4=0,0,1)</f>
        <v>0</v>
      </c>
      <c r="U6">
        <f>+IF(U4=0,0,1)</f>
        <v>0</v>
      </c>
      <c r="V6">
        <f>+IF(V4=0,0,1)</f>
        <v>0</v>
      </c>
      <c r="AF6" s="1"/>
      <c r="AG6" s="1"/>
      <c r="AH6" s="1"/>
      <c r="AI6" s="1"/>
      <c r="AJ6" s="1"/>
      <c r="AK6" s="1"/>
      <c r="AL6" s="1"/>
      <c r="AM6" s="1"/>
    </row>
    <row r="7" spans="4:41" ht="15" hidden="1">
      <c r="D7" s="8" t="str">
        <f>+"Calcolo dell'eccedenza dei ["&amp;D4&amp;"] ="</f>
        <v>Calcolo dell'eccedenza dei [m²] =</v>
      </c>
      <c r="E7">
        <f ca="1">+INDIRECT(ADDRESS(AF4,12,1,,"PARAMETRI ATTIVITA"))</f>
        <v>0.4</v>
      </c>
      <c r="F7" t="s">
        <v>193</v>
      </c>
      <c r="G7" s="31">
        <f>+AK4</f>
        <v>1.6</v>
      </c>
      <c r="H7" t="s">
        <v>194</v>
      </c>
      <c r="I7">
        <f>+AM4</f>
        <v>1</v>
      </c>
      <c r="Q7" t="s">
        <v>260</v>
      </c>
      <c r="R7" t="s">
        <v>269</v>
      </c>
      <c r="S7" t="s">
        <v>261</v>
      </c>
      <c r="T7" t="s">
        <v>262</v>
      </c>
      <c r="U7" t="s">
        <v>263</v>
      </c>
      <c r="V7" t="s">
        <v>304</v>
      </c>
      <c r="W7" t="s">
        <v>265</v>
      </c>
      <c r="X7" t="s">
        <v>264</v>
      </c>
      <c r="AF7" s="1"/>
      <c r="AG7" s="1"/>
      <c r="AH7" s="1" t="s">
        <v>318</v>
      </c>
      <c r="AI7" s="1">
        <f>IF(AN4=0,+SQRT(AR4*AI4)*AK4*AM4,IF(AR4-AN4&lt;0,+SQRT((AR4+AS4)*AI4)*AK4*AM4,SQRT((AN4+AS4+(AR4-AN4)*AO4)*AI4)*AK4*AM4))</f>
        <v>192</v>
      </c>
      <c r="AJ7" s="1"/>
      <c r="AK7" s="1"/>
      <c r="AL7" s="1"/>
      <c r="AM7" s="1"/>
      <c r="AO7">
        <f>+(G4*AP4-AQ4)/G4</f>
        <v>1.6</v>
      </c>
    </row>
    <row r="8" spans="4:39" ht="15" hidden="1">
      <c r="D8" s="32" t="s">
        <v>215</v>
      </c>
      <c r="E8" s="36"/>
      <c r="F8" s="34" t="s">
        <v>254</v>
      </c>
      <c r="G8" s="47"/>
      <c r="H8" s="34" t="s">
        <v>255</v>
      </c>
      <c r="I8" s="47"/>
      <c r="Q8" s="47">
        <v>1</v>
      </c>
      <c r="R8" s="36">
        <v>0.8</v>
      </c>
      <c r="S8" s="64">
        <v>0.5</v>
      </c>
      <c r="T8" s="66">
        <f>+IF(S4="SI",T9+3*SQRT(T4)+2*T4,T10+6*T4)*T6</f>
        <v>0</v>
      </c>
      <c r="U8" s="66">
        <f>+IF(S4="SI",U9+6*SQRT(U4)+2*U4,U10+10*U4)*U6</f>
        <v>0</v>
      </c>
      <c r="V8" s="66">
        <f>V9*V4</f>
        <v>0</v>
      </c>
      <c r="W8" s="65">
        <v>0.75</v>
      </c>
      <c r="X8" s="66">
        <f>+IF(S4="SI",X9,IF(Q4="SI",X9,X10))</f>
        <v>0.15</v>
      </c>
      <c r="AF8" s="1"/>
      <c r="AG8" s="1"/>
      <c r="AH8" s="1" t="s">
        <v>319</v>
      </c>
      <c r="AI8" s="1">
        <f>+PRODUCT(AI37:AL37)</f>
        <v>1.5</v>
      </c>
      <c r="AJ8" s="1"/>
      <c r="AK8" s="1" t="s">
        <v>345</v>
      </c>
      <c r="AL8" s="1">
        <f>+IF(L4="SI",(1+0.05*M4),1)</f>
        <v>1</v>
      </c>
      <c r="AM8" s="1"/>
    </row>
    <row r="9" spans="4:39" ht="15" hidden="1">
      <c r="D9" s="8" t="s">
        <v>190</v>
      </c>
      <c r="E9">
        <f>+AI4</f>
        <v>6</v>
      </c>
      <c r="S9" t="s">
        <v>305</v>
      </c>
      <c r="T9" s="36">
        <v>4</v>
      </c>
      <c r="U9" s="36">
        <v>4</v>
      </c>
      <c r="V9" s="36">
        <v>30</v>
      </c>
      <c r="X9" s="36">
        <v>0.15</v>
      </c>
      <c r="AF9" s="1"/>
      <c r="AG9" s="1"/>
      <c r="AH9" s="1" t="s">
        <v>350</v>
      </c>
      <c r="AI9" s="1">
        <f>+PARG*AI8*AL8*AL9</f>
        <v>288</v>
      </c>
      <c r="AJ9" s="1"/>
      <c r="AK9" s="1" t="s">
        <v>346</v>
      </c>
      <c r="AL9" s="1">
        <f>++IF(L4="SI",IF(N4="SI",1.4*(1+O4*0.2),1),1)</f>
        <v>1</v>
      </c>
      <c r="AM9" s="1"/>
    </row>
    <row r="10" spans="4:39" ht="15" hidden="1">
      <c r="D10" s="32" t="s">
        <v>216</v>
      </c>
      <c r="E10" s="36"/>
      <c r="S10" t="s">
        <v>306</v>
      </c>
      <c r="T10" s="36">
        <v>10</v>
      </c>
      <c r="U10" s="36">
        <v>10</v>
      </c>
      <c r="V10" s="36">
        <v>30</v>
      </c>
      <c r="X10" s="36">
        <v>0.25</v>
      </c>
      <c r="AF10" s="1" t="s">
        <v>257</v>
      </c>
      <c r="AG10" s="1"/>
      <c r="AH10" s="1" t="s">
        <v>351</v>
      </c>
      <c r="AI10" s="1">
        <f>IF(Q4="NO",+SUM(AI12:AI16),R5*PARG+AI16)</f>
        <v>153.60000000000002</v>
      </c>
      <c r="AJ10" s="1"/>
      <c r="AK10" s="1"/>
      <c r="AL10" s="1"/>
      <c r="AM10" s="1"/>
    </row>
    <row r="11" spans="32:42" ht="15">
      <c r="AF11" s="1"/>
      <c r="AG11" s="1"/>
      <c r="AH11" s="1"/>
      <c r="AI11" s="1"/>
      <c r="AJ11" s="1"/>
      <c r="AK11" s="1"/>
      <c r="AL11" s="1"/>
      <c r="AM11" s="1"/>
      <c r="AP11" t="b">
        <f>+ISERROR(VLOOKUP($A4,TabAtt,13,FALSE))</f>
        <v>0</v>
      </c>
    </row>
    <row r="12" spans="32:39" ht="15">
      <c r="AF12" s="1"/>
      <c r="AG12" s="1"/>
      <c r="AH12" s="1" t="s">
        <v>347</v>
      </c>
      <c r="AI12" s="1">
        <f>+S5*S8*PARG</f>
        <v>0</v>
      </c>
      <c r="AJ12" s="1">
        <f>+IF(AI12&gt;0,IF(SUM(AI13:AI16)&gt;0,"B1 + ","B1 ="),"")</f>
      </c>
      <c r="AK12" s="1">
        <f>+IF(AI12&gt;0,IF(SUM(AI13:AI16)&gt;0,TEXT(AI12,"#0,0#")&amp;" +",TEXT(AI12,"#0,0#")&amp;"="),"")</f>
      </c>
      <c r="AL12" s="1"/>
      <c r="AM12" s="1"/>
    </row>
    <row r="13" spans="32:40" ht="20.25">
      <c r="AF13" s="1"/>
      <c r="AG13" s="1"/>
      <c r="AH13" s="1" t="s">
        <v>361</v>
      </c>
      <c r="AI13" s="79">
        <f>+SUM(T8:U8)</f>
        <v>0</v>
      </c>
      <c r="AJ13" s="1">
        <f>+IF(AI13&gt;0,IF(SUM(AI14:AI16)&gt;0,"B2 + ","B2 = "),"")</f>
      </c>
      <c r="AK13" s="1">
        <f>+IF(AI13&gt;0,IF(SUM(AI14:AI16)&gt;0,TEXT(AI13,"#0,0#")&amp;" + ",TEXT(AI13,"#0,0#")&amp;" ="),"")</f>
      </c>
      <c r="AL13" s="95" t="s">
        <v>366</v>
      </c>
      <c r="AM13" s="1" t="s">
        <v>363</v>
      </c>
      <c r="AN13" s="24" t="str">
        <f>+IF(Q5=1,IF(R5=0.8,AL15,AL14),AL13)&amp;IF(AI16&gt;0,IF(Q5=1," + B.5",""),"")&amp;" ="</f>
        <v>hj = 1,8 x Sgi =</v>
      </c>
    </row>
    <row r="14" spans="32:39" ht="20.25">
      <c r="AF14" s="1"/>
      <c r="AG14" s="1"/>
      <c r="AH14" s="1" t="s">
        <v>362</v>
      </c>
      <c r="AI14" s="79">
        <f>+V8</f>
        <v>0</v>
      </c>
      <c r="AJ14" s="1">
        <f>+IF(AI14&gt;0,IF(SUM(AI15:AI16)&gt;0,"B3 + ","B3 = "),"")</f>
      </c>
      <c r="AK14" s="1">
        <f>+IF(AI14&gt;0,IF(SUM(AI15:AI16)&gt;0,TEXT(AI14,"#0,0#")&amp;" + ",TEXT(AI14,"#0,0#")&amp;" ="),"")</f>
      </c>
      <c r="AL14" s="95" t="s">
        <v>367</v>
      </c>
      <c r="AM14" s="1"/>
    </row>
    <row r="15" spans="1:42" ht="20.25">
      <c r="A15" s="24" t="s">
        <v>203</v>
      </c>
      <c r="C15" s="25" t="s">
        <v>203</v>
      </c>
      <c r="E15" s="25" t="s">
        <v>203</v>
      </c>
      <c r="F15" s="25" t="s">
        <v>207</v>
      </c>
      <c r="G15" s="25"/>
      <c r="H15" s="25" t="s">
        <v>207</v>
      </c>
      <c r="J15" s="25" t="s">
        <v>222</v>
      </c>
      <c r="K15" s="25"/>
      <c r="L15" s="25"/>
      <c r="M15" s="25"/>
      <c r="N15" s="75"/>
      <c r="O15" s="75"/>
      <c r="Q15" s="201" t="s">
        <v>320</v>
      </c>
      <c r="R15" s="201"/>
      <c r="T15" s="201" t="s">
        <v>324</v>
      </c>
      <c r="U15" s="201"/>
      <c r="V15" s="201"/>
      <c r="W15" s="201"/>
      <c r="AF15" s="1"/>
      <c r="AG15" s="1"/>
      <c r="AH15" s="1" t="s">
        <v>349</v>
      </c>
      <c r="AI15" s="1">
        <f>+W8*PARG*W5</f>
        <v>0</v>
      </c>
      <c r="AJ15" s="1">
        <f>+IF(AI15&gt;0,IF(SUM(AI16)&gt;0,"B4 + ","B4 = "),"")</f>
      </c>
      <c r="AK15" s="1">
        <f>+IF(AI15&gt;0,IF(SUM(AI16)&gt;0,TEXT(AI15,"#0,0#")&amp;" + ",TEXT(AI15,"#0,0#")&amp;" ="),"")</f>
      </c>
      <c r="AL15" s="95" t="s">
        <v>368</v>
      </c>
      <c r="AM15" s="1" t="s">
        <v>364</v>
      </c>
      <c r="AN15" t="str">
        <f>+" ["&amp;AH17&amp;"]^0,5"&amp;TEXT(AI17,"#0.00")&amp;TEXT(AJ17,"#0.00")&amp;"= "&amp;TEXT(PARG,"#.0,00")</f>
        <v> [(1000 + 3500 x 0,4)x6]^0,5 x 2 x1,00= 19.2,00</v>
      </c>
      <c r="AP15" s="96"/>
    </row>
    <row r="16" spans="1:39" ht="15">
      <c r="A16" s="24" t="s">
        <v>204</v>
      </c>
      <c r="C16" s="25" t="s">
        <v>228</v>
      </c>
      <c r="E16" s="25" t="s">
        <v>206</v>
      </c>
      <c r="F16" s="25" t="s">
        <v>208</v>
      </c>
      <c r="G16" s="25"/>
      <c r="H16" s="25" t="s">
        <v>209</v>
      </c>
      <c r="J16" s="25" t="s">
        <v>223</v>
      </c>
      <c r="K16" s="25"/>
      <c r="L16" s="25"/>
      <c r="M16" s="25"/>
      <c r="N16" s="75"/>
      <c r="O16" s="75"/>
      <c r="Q16" s="201" t="s">
        <v>321</v>
      </c>
      <c r="R16" s="201"/>
      <c r="T16" s="201" t="s">
        <v>325</v>
      </c>
      <c r="U16" s="201"/>
      <c r="V16" s="201"/>
      <c r="W16" s="201"/>
      <c r="AF16" s="1"/>
      <c r="AG16" s="1"/>
      <c r="AH16" s="1" t="s">
        <v>360</v>
      </c>
      <c r="AI16" s="1">
        <f>+X8*X5*PARG</f>
        <v>0</v>
      </c>
      <c r="AJ16" s="1">
        <f>+IF(AI16&gt;0,IF(Q5=1,TEXT(PARG*R5,"#0,0#")&amp;"+","B5 ="),"")</f>
      </c>
      <c r="AK16" s="1">
        <f>+IF(AI16&gt;0,TEXT(AI16,"#0,0#")&amp;" = ","")</f>
      </c>
      <c r="AL16" s="1"/>
      <c r="AM16" s="1" t="s">
        <v>1</v>
      </c>
    </row>
    <row r="17" spans="3:39" ht="15">
      <c r="C17" s="25" t="s">
        <v>250</v>
      </c>
      <c r="F17" s="204" t="s">
        <v>226</v>
      </c>
      <c r="G17" s="204"/>
      <c r="H17" s="204"/>
      <c r="J17" s="25" t="s">
        <v>224</v>
      </c>
      <c r="K17" s="25"/>
      <c r="L17" s="25"/>
      <c r="M17" s="25"/>
      <c r="N17" s="75"/>
      <c r="O17" s="75"/>
      <c r="Q17" s="201" t="s">
        <v>322</v>
      </c>
      <c r="R17" s="201"/>
      <c r="T17" s="201" t="s">
        <v>326</v>
      </c>
      <c r="U17" s="201"/>
      <c r="V17" s="201"/>
      <c r="W17" s="201"/>
      <c r="AF17" s="1"/>
      <c r="AG17" s="1"/>
      <c r="AH17" s="1" t="str">
        <f>+IF(E5&gt;0,IF((E4-E5)&gt;0,"("&amp;E5&amp;" + "&amp;E4-E5&amp;" x "&amp;E7&amp;")x"&amp;E9,E4&amp;"x "&amp;E9),E4)</f>
        <v>(1000 + 3500 x 0,4)x6</v>
      </c>
      <c r="AI17" s="1" t="str">
        <f>+IF(AS4&gt;0," +("&amp;TEXT(G4,"#0")&amp;" x 7)^0,5",IF(F4="non def.",""," x "&amp;TEXT(G7,"#0")))</f>
        <v> x 2</v>
      </c>
      <c r="AJ17" s="1" t="str">
        <f>+IF(AS4&gt;0," +("&amp;TEXT(I4,"#0")&amp;" x 8)^0,5",IF(H4="non def.","x 1"," x"&amp;TEXT(I7,"#0,00")))</f>
        <v> x1,00</v>
      </c>
      <c r="AK17" s="1"/>
      <c r="AL17" s="1"/>
      <c r="AM17" s="1" t="s">
        <v>0</v>
      </c>
    </row>
    <row r="18" spans="6:39" ht="36.75" customHeight="1">
      <c r="F18" s="204"/>
      <c r="G18" s="204"/>
      <c r="H18" s="204"/>
      <c r="I18" s="3"/>
      <c r="J18" s="39" t="s">
        <v>225</v>
      </c>
      <c r="K18" s="39"/>
      <c r="L18" s="39"/>
      <c r="M18" s="39"/>
      <c r="N18" s="76"/>
      <c r="O18" s="76"/>
      <c r="Q18" s="202" t="s">
        <v>323</v>
      </c>
      <c r="R18" s="212"/>
      <c r="T18" s="202" t="s">
        <v>327</v>
      </c>
      <c r="U18" s="202"/>
      <c r="V18" s="202"/>
      <c r="W18" s="202"/>
      <c r="AF18" s="1"/>
      <c r="AG18" s="1"/>
      <c r="AH18" s="1"/>
      <c r="AI18" s="1"/>
      <c r="AJ18" s="1"/>
      <c r="AK18" s="1"/>
      <c r="AL18" s="1"/>
      <c r="AM18" s="1"/>
    </row>
    <row r="19" spans="6:39" ht="23.25">
      <c r="F19" s="62"/>
      <c r="G19" s="62"/>
      <c r="H19" s="62"/>
      <c r="I19" s="3"/>
      <c r="J19" s="39"/>
      <c r="K19" s="39"/>
      <c r="L19" s="39"/>
      <c r="M19" s="39"/>
      <c r="N19" s="76"/>
      <c r="O19" s="76"/>
      <c r="AF19" s="1"/>
      <c r="AG19" s="1"/>
      <c r="AH19" s="1"/>
      <c r="AI19" s="1"/>
      <c r="AJ19" s="1"/>
      <c r="AK19" s="1"/>
      <c r="AL19" s="1"/>
      <c r="AM19" s="1"/>
    </row>
    <row r="20" spans="2:39" ht="33.75">
      <c r="B20" s="97" t="s">
        <v>317</v>
      </c>
      <c r="C20" s="98">
        <f>+PARG</f>
        <v>192</v>
      </c>
      <c r="D20" s="208"/>
      <c r="E20" s="209"/>
      <c r="F20" s="207" t="str">
        <f>+" ["&amp;AH17&amp;"]^0,5"&amp;TEXT(AI17,"#0.00")&amp;TEXT(AJ17,"#0.00")&amp;"= "&amp;TEXT(PARG,"#.0,00")</f>
        <v> [(1000 + 3500 x 0,4)x6]^0,5 x 2 x1,00= 19.2,00</v>
      </c>
      <c r="G20" s="207"/>
      <c r="H20" s="207"/>
      <c r="I20" s="207"/>
      <c r="J20" s="213"/>
      <c r="K20" s="21"/>
      <c r="L20" s="21"/>
      <c r="M20" s="21"/>
      <c r="N20" s="21"/>
      <c r="O20" s="21"/>
      <c r="Q20" s="22" t="s">
        <v>331</v>
      </c>
      <c r="R20" s="205">
        <f>10+PARHF1</f>
        <v>298</v>
      </c>
      <c r="S20" s="206"/>
      <c r="T20" s="77" t="s">
        <v>389</v>
      </c>
      <c r="U20" s="74"/>
      <c r="AF20" s="1" t="s">
        <v>258</v>
      </c>
      <c r="AG20" s="1">
        <v>1</v>
      </c>
      <c r="AH20" s="1" t="str">
        <f>+IF($Q$4="SI","N.D.","SI")</f>
        <v>N.D.</v>
      </c>
      <c r="AI20" s="1"/>
      <c r="AJ20" s="1" t="s">
        <v>266</v>
      </c>
      <c r="AK20" s="1"/>
      <c r="AL20" s="1"/>
      <c r="AM20" s="1"/>
    </row>
    <row r="21" spans="2:39" ht="33.75">
      <c r="B21" s="97" t="s">
        <v>328</v>
      </c>
      <c r="C21" s="98">
        <f>+PARHF1</f>
        <v>288</v>
      </c>
      <c r="D21" s="210"/>
      <c r="E21" s="211"/>
      <c r="F21" s="207" t="str">
        <f>+TEXT(PARG,"#0")&amp;" x "&amp;AI37&amp;" x "&amp;AJ37&amp;" x "&amp;AK37&amp;" x "&amp;AL37&amp;" = "&amp;TEXT(PARHF1,"0#,00")</f>
        <v>192 x 1,5 x 1 x 1 x 1 = 288,00</v>
      </c>
      <c r="G21" s="207"/>
      <c r="H21" s="207"/>
      <c r="I21" s="99"/>
      <c r="J21" s="100"/>
      <c r="Q21" s="22" t="s">
        <v>332</v>
      </c>
      <c r="R21" s="205">
        <f>10+PARHF2</f>
        <v>163.60000000000002</v>
      </c>
      <c r="S21" s="206"/>
      <c r="T21" s="77" t="s">
        <v>389</v>
      </c>
      <c r="U21" s="78"/>
      <c r="V21" s="69"/>
      <c r="AF21" s="1" t="s">
        <v>259</v>
      </c>
      <c r="AG21" s="1">
        <v>0</v>
      </c>
      <c r="AH21" s="1" t="str">
        <f>+IF($Q$4="SI","N.D.","NO")</f>
        <v>N.D.</v>
      </c>
      <c r="AI21" s="1"/>
      <c r="AJ21" s="1" t="s">
        <v>267</v>
      </c>
      <c r="AK21" s="1"/>
      <c r="AL21" s="1"/>
      <c r="AM21" s="1"/>
    </row>
    <row r="22" spans="2:39" ht="33.75">
      <c r="B22" s="97" t="s">
        <v>334</v>
      </c>
      <c r="C22" s="98">
        <f>+PARHF2</f>
        <v>153.60000000000002</v>
      </c>
      <c r="D22" s="101"/>
      <c r="E22" s="104" t="s">
        <v>390</v>
      </c>
      <c r="F22" s="214" t="str">
        <f>AJ12&amp;AJ13&amp;AJ14&amp;AJ15&amp;AJ16&amp;AK12&amp;AK13&amp;AK14&amp;AK15&amp;AK16&amp;TEXT(PARHF2,"#0,0#")</f>
        <v>153,6</v>
      </c>
      <c r="G22" s="214"/>
      <c r="H22" s="214"/>
      <c r="I22" s="214"/>
      <c r="J22" s="215"/>
      <c r="Q22" s="22" t="s">
        <v>335</v>
      </c>
      <c r="R22" s="205">
        <f>+IF(Q4="SI",R20+R21,"-")</f>
        <v>461.6</v>
      </c>
      <c r="S22" s="206"/>
      <c r="T22" s="77" t="s">
        <v>389</v>
      </c>
      <c r="AF22" s="1"/>
      <c r="AG22" s="1"/>
      <c r="AH22" s="1"/>
      <c r="AI22" s="1"/>
      <c r="AJ22" s="1" t="s">
        <v>268</v>
      </c>
      <c r="AK22" s="1"/>
      <c r="AL22" s="1"/>
      <c r="AM22" s="1"/>
    </row>
    <row r="23" spans="3:39" ht="33.75">
      <c r="C23" s="21"/>
      <c r="D23" s="22"/>
      <c r="E23" s="10"/>
      <c r="F23" s="38"/>
      <c r="R23" t="s">
        <v>333</v>
      </c>
      <c r="AF23" s="1" t="s">
        <v>336</v>
      </c>
      <c r="AG23" s="1" t="s">
        <v>337</v>
      </c>
      <c r="AH23" s="1" t="s">
        <v>271</v>
      </c>
      <c r="AI23" s="1"/>
      <c r="AJ23" s="1"/>
      <c r="AK23" s="1"/>
      <c r="AL23" s="1"/>
      <c r="AM23" s="1"/>
    </row>
    <row r="24" spans="2:39" ht="15" hidden="1">
      <c r="B24" s="1"/>
      <c r="AF24" s="1"/>
      <c r="AG24" s="1"/>
      <c r="AH24" s="1"/>
      <c r="AI24" s="1"/>
      <c r="AJ24" s="1"/>
      <c r="AK24" s="1"/>
      <c r="AL24" s="1"/>
      <c r="AM24" s="1"/>
    </row>
    <row r="25" spans="2:39" ht="73.5" customHeight="1" hidden="1">
      <c r="B25" s="40"/>
      <c r="AF25" s="1"/>
      <c r="AG25" s="1" t="str">
        <f>"Gi = [SxK]^0,5 "&amp;IF(AI17="",""," x X")&amp;IF(AJ17="","","  x Y")&amp;" = "&amp;" ["&amp;AH17&amp;"]^0,5"&amp;TEXT(AI17,"#0.00")&amp;TEXT(AJ17,"#0.00")&amp;"= "&amp;TEXT(P4,"#.0,00")</f>
        <v>Gi = [SxK]^0,5  x X  x Y =  [(1000 + 3500 x 0,4)x6]^0,5 x 2 x1,00= 28.8,00</v>
      </c>
      <c r="AH25" s="1"/>
      <c r="AI25" s="1"/>
      <c r="AJ25" s="1"/>
      <c r="AK25" s="1"/>
      <c r="AL25" s="1"/>
      <c r="AM25" s="1"/>
    </row>
    <row r="26" spans="32:39" ht="15" hidden="1">
      <c r="AF26" s="1"/>
      <c r="AG26" s="1"/>
      <c r="AH26" s="1"/>
      <c r="AI26" s="1"/>
      <c r="AJ26" s="1"/>
      <c r="AK26" s="1"/>
      <c r="AL26" s="1"/>
      <c r="AM26" s="1"/>
    </row>
    <row r="27" spans="32:39" ht="15" hidden="1">
      <c r="AF27" s="1"/>
      <c r="AG27" s="1"/>
      <c r="AH27" s="1"/>
      <c r="AI27" s="1"/>
      <c r="AJ27" s="1"/>
      <c r="AK27" s="1"/>
      <c r="AL27" s="1"/>
      <c r="AM27" s="1"/>
    </row>
    <row r="28" spans="32:39" ht="15" hidden="1">
      <c r="AF28" s="1"/>
      <c r="AG28" s="1"/>
      <c r="AH28" s="1"/>
      <c r="AI28" s="1"/>
      <c r="AJ28" s="1"/>
      <c r="AK28" s="1"/>
      <c r="AL28" s="1"/>
      <c r="AM28" s="1"/>
    </row>
    <row r="29" spans="32:39" ht="15" hidden="1">
      <c r="AF29" s="1"/>
      <c r="AG29" s="1"/>
      <c r="AH29" s="1"/>
      <c r="AI29" s="1"/>
      <c r="AJ29" s="1"/>
      <c r="AK29" s="1"/>
      <c r="AL29" s="1"/>
      <c r="AM29" s="1"/>
    </row>
    <row r="30" spans="32:39" ht="15" hidden="1">
      <c r="AF30" s="1"/>
      <c r="AG30" s="1"/>
      <c r="AH30" s="1"/>
      <c r="AI30" s="1"/>
      <c r="AJ30" s="1"/>
      <c r="AK30" s="1"/>
      <c r="AL30" s="1"/>
      <c r="AM30" s="1"/>
    </row>
    <row r="31" spans="3:39" ht="21" hidden="1">
      <c r="C31" s="203" t="str">
        <f>"G = [SxK]^0,5 "&amp;IF(AI17="",""," x X")&amp;IF(AJ17="","","  x Y")&amp;" = "&amp;" ["&amp;AH17&amp;"]^0,5"&amp;TEXT(AI17,"#0.00")&amp;TEXT(AJ17,"#0.00")&amp;"= "&amp;TEXT(P4,"#.0,00")</f>
        <v>G = [SxK]^0,5  x X  x Y =  [(1000 + 3500 x 0,4)x6]^0,5 x 2 x1,00= 28.8,00</v>
      </c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48"/>
      <c r="R31" s="48"/>
      <c r="S31">
        <v>1070</v>
      </c>
      <c r="AF31" s="1"/>
      <c r="AG31" s="1"/>
      <c r="AH31" s="1"/>
      <c r="AI31" s="1"/>
      <c r="AJ31" s="1"/>
      <c r="AK31" s="1"/>
      <c r="AL31" s="1"/>
      <c r="AM31" s="1"/>
    </row>
    <row r="32" spans="32:40" ht="15" hidden="1">
      <c r="AF32" s="1"/>
      <c r="AG32" s="1"/>
      <c r="AH32" s="1"/>
      <c r="AI32" s="1"/>
      <c r="AJ32" s="1"/>
      <c r="AK32" s="1" t="s">
        <v>187</v>
      </c>
      <c r="AL32" s="1" t="s">
        <v>188</v>
      </c>
      <c r="AM32" s="1" t="s">
        <v>344</v>
      </c>
      <c r="AN32" s="2"/>
    </row>
    <row r="33" spans="32:39" ht="15" hidden="1">
      <c r="AF33" s="1"/>
      <c r="AG33" s="1"/>
      <c r="AH33" s="1" t="s">
        <v>179</v>
      </c>
      <c r="AI33" s="1">
        <v>1.2</v>
      </c>
      <c r="AJ33" s="1" t="s">
        <v>258</v>
      </c>
      <c r="AK33" s="1">
        <v>1.2</v>
      </c>
      <c r="AL33" s="1">
        <v>1.5</v>
      </c>
      <c r="AM33" s="1">
        <v>1.4</v>
      </c>
    </row>
    <row r="34" spans="32:39" ht="15" hidden="1">
      <c r="AF34" s="1"/>
      <c r="AG34" s="1"/>
      <c r="AH34" s="1" t="s">
        <v>180</v>
      </c>
      <c r="AI34" s="1">
        <v>1</v>
      </c>
      <c r="AJ34" s="1" t="s">
        <v>259</v>
      </c>
      <c r="AK34" s="1">
        <v>1</v>
      </c>
      <c r="AL34" s="1">
        <v>1</v>
      </c>
      <c r="AM34" s="1">
        <v>1</v>
      </c>
    </row>
    <row r="35" spans="19:39" ht="15" hidden="1">
      <c r="S35">
        <f>(2*2-1)/2</f>
        <v>1.5</v>
      </c>
      <c r="AF35" s="1"/>
      <c r="AG35" s="1"/>
      <c r="AH35" s="1" t="s">
        <v>200</v>
      </c>
      <c r="AI35" s="1">
        <v>1.5</v>
      </c>
      <c r="AJ35" s="1"/>
      <c r="AK35" s="1"/>
      <c r="AL35" s="1"/>
      <c r="AM35" s="1"/>
    </row>
    <row r="36" spans="3:39" ht="15" hidden="1">
      <c r="C36" s="18" t="s">
        <v>177</v>
      </c>
      <c r="E36" s="18" t="s">
        <v>181</v>
      </c>
      <c r="F36" s="18" t="s">
        <v>184</v>
      </c>
      <c r="G36" s="18" t="s">
        <v>185</v>
      </c>
      <c r="H36" s="18" t="s">
        <v>186</v>
      </c>
      <c r="AF36" s="1"/>
      <c r="AG36" s="1"/>
      <c r="AH36" s="1"/>
      <c r="AI36" s="1"/>
      <c r="AJ36" s="1"/>
      <c r="AK36" s="1"/>
      <c r="AL36" s="1"/>
      <c r="AM36" s="1"/>
    </row>
    <row r="37" spans="3:39" ht="60.75" customHeight="1" hidden="1">
      <c r="C37" s="27">
        <f>+P4</f>
        <v>288</v>
      </c>
      <c r="E37" s="35" t="s">
        <v>183</v>
      </c>
      <c r="F37" s="35" t="s">
        <v>183</v>
      </c>
      <c r="G37" s="35" t="s">
        <v>183</v>
      </c>
      <c r="H37" s="33">
        <v>50</v>
      </c>
      <c r="AF37" s="1"/>
      <c r="AG37" s="1"/>
      <c r="AH37" s="1"/>
      <c r="AI37" s="1">
        <f>+VLOOKUP(J4,AH33:AI35,2,FALSE)</f>
        <v>1.5</v>
      </c>
      <c r="AJ37" s="1">
        <f>+VLOOKUP(K4,$AJ$33:$AM$34,2,FALSE)</f>
        <v>1</v>
      </c>
      <c r="AK37" s="1">
        <v>1</v>
      </c>
      <c r="AL37" s="1">
        <f>+VLOOKUP(G37,$AJ$33:$AM$34,4,FALSE)</f>
        <v>1</v>
      </c>
      <c r="AM37" s="1">
        <f>+VLOOKUP(G37,$AJ$33:$AM$34,4,FALSE)</f>
        <v>1</v>
      </c>
    </row>
    <row r="38" spans="32:39" ht="15">
      <c r="AF38" s="1"/>
      <c r="AG38" s="1"/>
      <c r="AH38" s="1"/>
      <c r="AI38" s="1"/>
      <c r="AJ38" s="1"/>
      <c r="AK38" s="1"/>
      <c r="AL38" s="1"/>
      <c r="AM38" s="1"/>
    </row>
    <row r="39" spans="32:39" ht="15">
      <c r="AF39" s="1"/>
      <c r="AG39" s="1"/>
      <c r="AH39" s="1"/>
      <c r="AI39" s="52">
        <f>+P4/(PRODUCT(AI37:AL37))</f>
        <v>192</v>
      </c>
      <c r="AJ39" s="1"/>
      <c r="AK39" s="1"/>
      <c r="AL39" s="1"/>
      <c r="AM39" s="1"/>
    </row>
    <row r="40" spans="2:39" ht="15" hidden="1">
      <c r="B40">
        <v>7</v>
      </c>
      <c r="AF40" s="1"/>
      <c r="AG40" s="1"/>
      <c r="AH40" s="1"/>
      <c r="AI40" s="1"/>
      <c r="AJ40" s="1"/>
      <c r="AK40" s="1"/>
      <c r="AL40" s="1"/>
      <c r="AM40" s="1"/>
    </row>
    <row r="41" spans="32:39" ht="15">
      <c r="AF41" s="1"/>
      <c r="AG41" s="1"/>
      <c r="AH41" s="1"/>
      <c r="AI41" s="1"/>
      <c r="AJ41" s="1"/>
      <c r="AK41" s="1"/>
      <c r="AL41" s="1"/>
      <c r="AM41" s="1"/>
    </row>
    <row r="42" spans="32:39" ht="15">
      <c r="AF42" s="1"/>
      <c r="AG42" s="1"/>
      <c r="AH42" s="1"/>
      <c r="AI42" s="1"/>
      <c r="AJ42" s="1"/>
      <c r="AK42" s="1"/>
      <c r="AL42" s="1"/>
      <c r="AM42" s="1"/>
    </row>
    <row r="43" spans="32:39" ht="15">
      <c r="AF43" s="1"/>
      <c r="AG43" s="1"/>
      <c r="AH43" s="1"/>
      <c r="AI43" s="1"/>
      <c r="AJ43" s="1"/>
      <c r="AK43" s="1"/>
      <c r="AL43" s="1"/>
      <c r="AM43" s="1"/>
    </row>
    <row r="44" spans="32:39" ht="15">
      <c r="AF44" s="1"/>
      <c r="AG44" s="1"/>
      <c r="AH44" s="1"/>
      <c r="AI44" s="1"/>
      <c r="AJ44" s="1"/>
      <c r="AK44" s="1"/>
      <c r="AL44" s="1"/>
      <c r="AM44" s="1"/>
    </row>
    <row r="45" spans="32:39" ht="15">
      <c r="AF45" s="1"/>
      <c r="AG45" s="1"/>
      <c r="AH45" s="1"/>
      <c r="AI45" s="1"/>
      <c r="AJ45" s="1"/>
      <c r="AK45" s="1"/>
      <c r="AL45" s="1"/>
      <c r="AM45" s="1"/>
    </row>
    <row r="46" spans="32:39" ht="15">
      <c r="AF46" s="1"/>
      <c r="AG46" s="1"/>
      <c r="AH46" s="1"/>
      <c r="AI46" s="1"/>
      <c r="AJ46" s="1"/>
      <c r="AK46" s="1"/>
      <c r="AL46" s="1"/>
      <c r="AM46" s="1"/>
    </row>
    <row r="47" spans="32:39" ht="15">
      <c r="AF47" s="1"/>
      <c r="AG47" s="1"/>
      <c r="AH47" s="1"/>
      <c r="AI47" s="1"/>
      <c r="AJ47" s="1"/>
      <c r="AK47" s="1"/>
      <c r="AL47" s="1"/>
      <c r="AM47" s="1"/>
    </row>
    <row r="48" spans="32:39" ht="15">
      <c r="AF48" s="1"/>
      <c r="AG48" s="1"/>
      <c r="AH48" s="1"/>
      <c r="AI48" s="1"/>
      <c r="AJ48" s="1"/>
      <c r="AK48" s="1"/>
      <c r="AL48" s="1"/>
      <c r="AM48" s="1"/>
    </row>
    <row r="49" spans="32:39" ht="15">
      <c r="AF49" s="1"/>
      <c r="AG49" s="1"/>
      <c r="AH49" s="1"/>
      <c r="AI49" s="1"/>
      <c r="AJ49" s="1"/>
      <c r="AK49" s="1"/>
      <c r="AL49" s="1"/>
      <c r="AM49" s="1"/>
    </row>
  </sheetData>
  <sheetProtection password="DC59" sheet="1" objects="1" scenarios="1" selectLockedCells="1"/>
  <mergeCells count="23">
    <mergeCell ref="T18:W18"/>
    <mergeCell ref="C31:P31"/>
    <mergeCell ref="F17:H18"/>
    <mergeCell ref="R21:S21"/>
    <mergeCell ref="R20:S20"/>
    <mergeCell ref="R22:S22"/>
    <mergeCell ref="F21:H21"/>
    <mergeCell ref="D20:E20"/>
    <mergeCell ref="D21:E21"/>
    <mergeCell ref="Q17:R17"/>
    <mergeCell ref="Q18:R18"/>
    <mergeCell ref="F20:J20"/>
    <mergeCell ref="F22:J22"/>
    <mergeCell ref="Q15:R15"/>
    <mergeCell ref="Q16:R16"/>
    <mergeCell ref="T15:W15"/>
    <mergeCell ref="T16:W16"/>
    <mergeCell ref="T17:W17"/>
    <mergeCell ref="Q1:Y1"/>
    <mergeCell ref="C2:P2"/>
    <mergeCell ref="C1:P1"/>
    <mergeCell ref="Q2:R2"/>
    <mergeCell ref="S2:W2"/>
  </mergeCells>
  <dataValidations count="18">
    <dataValidation errorStyle="information" type="list" allowBlank="1" showInputMessage="1" showErrorMessage="1" promptTitle="Parametro Principale" prompt="Scegliere il parametro principale relativo alla sotto-attività" sqref="C4">
      <formula1>OFFSET(INDIRECT($AH$4),0,0,$AG$4)</formula1>
    </dataValidation>
    <dataValidation type="list" allowBlank="1" showInputMessage="1" showErrorMessage="1" promptTitle="PARAMETRO X" prompt="Scegliere, se esiste, il parametro secondario X. Se non esiste un parametro secondario, andrà scelto &quot;NON DEF&quot;.&#10;" sqref="F4">
      <formula1>OFFSET(INDIRECT($AJ$4),0,0,$AG$4)</formula1>
    </dataValidation>
    <dataValidation type="list" allowBlank="1" showInputMessage="1" showErrorMessage="1" promptTitle="PARAMETRO Y" prompt="Scegliere, se esiste, il parametro secondario Y. Se non esiste un parametro secondario, andrà scelto &quot;NON DEF&quot;." sqref="H4">
      <formula1>OFFSET(INDIRECT($AL$4),0,0,$AG$4)</formula1>
    </dataValidation>
    <dataValidation type="list" allowBlank="1" showInputMessage="1" showErrorMessage="1" prompt="Indicare se per l'attività in questione si userà il D.M. 3 Agosto 2015, o una norma verticale prescrittiva precedente. Qualora l'attività  non sia soggetta ad alcuna norma specifica, indicare &quot;non normata&quot;" sqref="J4">
      <formula1>$AH$33:$AH$35</formula1>
    </dataValidation>
    <dataValidation type="list" allowBlank="1" showInputMessage="1" showErrorMessage="1" sqref="E37:G37">
      <formula1>$AJ$33:$AJ$34</formula1>
    </dataValidation>
    <dataValidation type="list" allowBlank="1" showInputMessage="1" showErrorMessage="1" promptTitle="Non Aggravio del Rischio" prompt="Indicare &quot;SI&quot; se nel corso dell'opera o successivamente alla SCIA siano intervenute modifiche di cui art.4, comma 6, del DPR 01/08/2011 n.151, che non comportino aggravio delle preesistenti condizioni di sicurezza, da asseverare (PIN 2.6)" sqref="X4">
      <formula1>$AF$20:$AF$21</formula1>
    </dataValidation>
    <dataValidation type="list" allowBlank="1" showInputMessage="1" showErrorMessage="1" promptTitle="SCIA" prompt="Scegliere &quot;SI&quot; se il professionista è chiamato a redigere l'asseverazione ai fini della sicurezza antincendio (PIN 2.1)" sqref="W4">
      <formula1>$AH$20:$AH$21</formula1>
    </dataValidation>
    <dataValidation type="list" allowBlank="1" showInputMessage="1" showErrorMessage="1" sqref="R4">
      <formula1>$AJ$20:$AJ$22</formula1>
    </dataValidation>
    <dataValidation allowBlank="1" showInputMessage="1" showErrorMessage="1" promptTitle="Valore Base" prompt="Inserire il valore del parametro Base, in accordo con l'unità di misura indicata" sqref="E4"/>
    <dataValidation allowBlank="1" showInputMessage="1" showErrorMessage="1" promptTitle="PARAMETRO X" prompt="Se per la definizione del paramentro X è necessario immettere un valore, deve essere indicato qui. Se la casella è grigia, il parametro non richiede ulteriori valori." sqref="G4"/>
    <dataValidation type="list" allowBlank="1" showInputMessage="1" showErrorMessage="1" promptTitle="DEROGA" prompt="Selezionare SI se è stato necessario richiedere una Deroga per ottenere il parere positivo di prevenzione incendi" sqref="K4">
      <formula1>$AJ$33:$AJ$34</formula1>
    </dataValidation>
    <dataValidation type="list" allowBlank="1" showInputMessage="1" showErrorMessage="1" promptTitle="Soluzioni Alternative" prompt="Selezionare &quot;SI&quot; nel caso in cui, all'interno del D.M. 3 Agosto 2015, sia stato necessario applicare delle soluzioni alternative per verificare il raggiungimento del livello di prestazione di una o più strategie anticendio" sqref="L4">
      <formula1>$AJ$33:$AJ$34</formula1>
    </dataValidation>
    <dataValidation type="list" allowBlank="1" showInputMessage="1" showErrorMessage="1" promptTitle="FSE" prompt="Scegliere &quot;SI&quot; se per la verifica delle soluzioni alternative si è fatto ricorso ai principi dell'ingegneria della sicurezza antincendio, secondo quanto indicato al paragrafo M del D.M. 3 Agosto 2015" sqref="N4">
      <formula1>$AJ$33:$AJ$34</formula1>
    </dataValidation>
    <dataValidation type="list" allowBlank="1" showInputMessage="1" showErrorMessage="1" promptTitle="INCARICO COMPLETO" prompt="Scegliere &quot;SI&quot; se il professionista sta valutando la propria offerta relativamente all'incarico sia di progettazione che di assistenza alla D.L. che di SCIA" sqref="Q4">
      <formula1>$AF$20:$AF$21</formula1>
    </dataValidation>
    <dataValidation type="list" allowBlank="1" showInputMessage="1" showErrorMessage="1" promptTitle="Assistenza alla D.L." prompt="Indicare &quot;SI&quot; se è richiesto di espletare le funzioni di assistente alla direzione dei lavori per la durata dei lavori stessi" sqref="S4">
      <formula1>$AH$20:$AH$21</formula1>
    </dataValidation>
    <dataValidation allowBlank="1" showInputMessage="1" showErrorMessage="1" promptTitle="CERT.REI" prompt="Indicare il numero di elementi certificati ai fini della resistenza al fuoco utilizzando il metodo tabellare" sqref="T4"/>
    <dataValidation allowBlank="1" showInputMessage="1" showErrorMessage="1" promptTitle="CERT.REI" prompt="Indicare il numero di elementi certificati ai fini della resistenza al fuoco utilizzando il metodo Analitico" sqref="U4"/>
    <dataValidation allowBlank="1" showInputMessage="1" showErrorMessage="1" promptTitle="CERT.IMP" prompt="Indicare il numero di impianti non soggetti a D.M. 37/08 da certificare ad opera del professionista" sqref="V4"/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0">
    <tabColor rgb="FF92D050"/>
  </sheetPr>
  <dimension ref="A1:P14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2" max="2" width="68.00390625" style="0" customWidth="1"/>
    <col min="3" max="3" width="16.00390625" style="0" customWidth="1"/>
    <col min="4" max="4" width="16.140625" style="0" customWidth="1"/>
    <col min="5" max="5" width="12.7109375" style="0" customWidth="1"/>
    <col min="6" max="6" width="11.7109375" style="0" customWidth="1"/>
  </cols>
  <sheetData>
    <row r="1" spans="3:16" ht="19.5" thickBot="1">
      <c r="C1" s="219" t="s">
        <v>385</v>
      </c>
      <c r="D1" s="220"/>
      <c r="E1" s="220"/>
      <c r="F1" s="220"/>
      <c r="G1" s="220"/>
      <c r="H1" s="174"/>
      <c r="I1" s="174"/>
      <c r="J1" s="174"/>
      <c r="K1" s="174"/>
      <c r="L1" s="174"/>
      <c r="M1" s="174"/>
      <c r="N1" s="174"/>
      <c r="O1" s="174"/>
      <c r="P1" s="175"/>
    </row>
    <row r="2" spans="3:5" ht="15.75" thickBot="1">
      <c r="C2" s="216" t="s">
        <v>379</v>
      </c>
      <c r="D2" s="217"/>
      <c r="E2" s="218"/>
    </row>
    <row r="3" spans="1:7" ht="45">
      <c r="A3" s="37" t="s">
        <v>369</v>
      </c>
      <c r="B3" s="49" t="s">
        <v>3</v>
      </c>
      <c r="C3" s="177" t="s">
        <v>380</v>
      </c>
      <c r="D3" s="178" t="s">
        <v>381</v>
      </c>
      <c r="E3" s="179" t="s">
        <v>382</v>
      </c>
      <c r="F3" s="180" t="s">
        <v>383</v>
      </c>
      <c r="G3" s="176" t="s">
        <v>384</v>
      </c>
    </row>
    <row r="4" spans="1:7" ht="63" customHeight="1">
      <c r="A4" s="182">
        <v>67</v>
      </c>
      <c r="B4" s="91" t="str">
        <f>+VLOOKUP($A4,ETAB2,2,FALSE)</f>
        <v>Scuole di ogni ordine, grado e tipo, collegi, accademie con oltre 100 persone presenti; asili nido con oltre 30 persone presenti</v>
      </c>
      <c r="C4" s="183">
        <v>1</v>
      </c>
      <c r="D4" s="183">
        <v>1</v>
      </c>
      <c r="E4" s="183">
        <v>0</v>
      </c>
      <c r="F4" s="183">
        <v>3</v>
      </c>
      <c r="G4" s="181">
        <f>8+(5*F4)+10*(E4+D4+C4)</f>
        <v>43</v>
      </c>
    </row>
    <row r="9" spans="1:4" ht="15">
      <c r="A9" s="24" t="s">
        <v>387</v>
      </c>
      <c r="D9" s="105" t="s">
        <v>386</v>
      </c>
    </row>
    <row r="14" spans="2:3" ht="18.75">
      <c r="B14" s="184" t="s">
        <v>388</v>
      </c>
      <c r="C14" t="str">
        <f>+"8 +[(5 x "&amp;F4&amp;") + 10 x ("&amp;C4&amp;"+"&amp;D4&amp;"+"&amp;E4&amp;") = "&amp;" "&amp;G4</f>
        <v>8 +[(5 x 3) + 10 x (1+1+0) =  43</v>
      </c>
    </row>
  </sheetData>
  <sheetProtection sheet="1" objects="1" scenarios="1" selectLockedCells="1"/>
  <mergeCells count="2">
    <mergeCell ref="C2:E2"/>
    <mergeCell ref="C1:G1"/>
  </mergeCells>
  <dataValidations count="1">
    <dataValidation errorStyle="information" type="whole" allowBlank="1" showInputMessage="1" showErrorMessage="1" errorTitle="Verifiche" error="Inserire un numero intero." sqref="C4:D4 E4">
      <formula1>0</formula1>
      <formula2>100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/>
  <dimension ref="A1:AA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31.00390625" style="0" customWidth="1"/>
    <col min="3" max="3" width="24.00390625" style="0" customWidth="1"/>
    <col min="5" max="9" width="12.421875" style="42" customWidth="1"/>
    <col min="11" max="11" width="12.421875" style="42" customWidth="1"/>
    <col min="12" max="12" width="19.7109375" style="45" customWidth="1"/>
    <col min="13" max="13" width="19.57421875" style="45" customWidth="1"/>
    <col min="14" max="19" width="18.421875" style="45" customWidth="1"/>
    <col min="20" max="20" width="17.421875" style="0" customWidth="1"/>
    <col min="24" max="24" width="18.28125" style="0" customWidth="1"/>
    <col min="25" max="25" width="18.140625" style="0" customWidth="1"/>
    <col min="26" max="26" width="18.57421875" style="0" bestFit="1" customWidth="1"/>
  </cols>
  <sheetData>
    <row r="1" spans="1:27" ht="45">
      <c r="A1" s="37" t="s">
        <v>10</v>
      </c>
      <c r="B1" s="37" t="s">
        <v>3</v>
      </c>
      <c r="C1" s="37" t="s">
        <v>227</v>
      </c>
      <c r="D1" s="37" t="s">
        <v>14</v>
      </c>
      <c r="E1" s="41" t="s">
        <v>229</v>
      </c>
      <c r="F1" s="41" t="s">
        <v>230</v>
      </c>
      <c r="G1" s="41" t="s">
        <v>231</v>
      </c>
      <c r="H1" s="41" t="s">
        <v>232</v>
      </c>
      <c r="I1" s="41" t="s">
        <v>233</v>
      </c>
      <c r="J1" s="37" t="s">
        <v>234</v>
      </c>
      <c r="K1" s="41" t="s">
        <v>246</v>
      </c>
      <c r="L1" s="43" t="s">
        <v>307</v>
      </c>
      <c r="M1" s="43" t="s">
        <v>308</v>
      </c>
      <c r="N1" s="44" t="s">
        <v>252</v>
      </c>
      <c r="O1" s="50" t="s">
        <v>294</v>
      </c>
      <c r="P1" s="51" t="s">
        <v>296</v>
      </c>
      <c r="Q1" s="50" t="s">
        <v>303</v>
      </c>
      <c r="R1" s="37" t="s">
        <v>297</v>
      </c>
      <c r="S1" s="37" t="s">
        <v>298</v>
      </c>
      <c r="T1" s="37" t="s">
        <v>299</v>
      </c>
      <c r="U1" s="37" t="s">
        <v>300</v>
      </c>
      <c r="V1" s="37" t="s">
        <v>301</v>
      </c>
      <c r="W1" s="37" t="s">
        <v>27</v>
      </c>
      <c r="X1" s="43" t="s">
        <v>309</v>
      </c>
      <c r="Y1" s="43" t="s">
        <v>310</v>
      </c>
      <c r="Z1" s="44" t="s">
        <v>252</v>
      </c>
      <c r="AA1" s="37" t="s">
        <v>253</v>
      </c>
    </row>
    <row r="2" spans="1:26" ht="45">
      <c r="A2">
        <v>65</v>
      </c>
      <c r="B2" t="s">
        <v>329</v>
      </c>
      <c r="C2" t="s">
        <v>47</v>
      </c>
      <c r="D2" t="s">
        <v>44</v>
      </c>
      <c r="E2" s="42">
        <v>56666</v>
      </c>
      <c r="F2" s="63" t="s">
        <v>237</v>
      </c>
      <c r="G2" s="42">
        <v>59</v>
      </c>
      <c r="H2" s="42" t="s">
        <v>37</v>
      </c>
      <c r="J2" t="s">
        <v>200</v>
      </c>
      <c r="K2" s="42">
        <v>297.7399872371866</v>
      </c>
      <c r="L2" s="46"/>
      <c r="M2" s="46"/>
      <c r="N2" s="45" t="s">
        <v>251</v>
      </c>
      <c r="O2" s="45" t="s">
        <v>258</v>
      </c>
      <c r="P2" s="45" t="s">
        <v>266</v>
      </c>
      <c r="V2" t="s">
        <v>259</v>
      </c>
      <c r="W2">
        <v>357.28798468462395</v>
      </c>
      <c r="X2" t="s">
        <v>330</v>
      </c>
      <c r="Y2">
        <v>357.28798468462395</v>
      </c>
      <c r="Z2" t="s">
        <v>251</v>
      </c>
    </row>
    <row r="3" spans="1:23" ht="15">
      <c r="A3" t="s">
        <v>10</v>
      </c>
      <c r="B3" t="s">
        <v>365</v>
      </c>
      <c r="C3" t="s">
        <v>227</v>
      </c>
      <c r="D3" t="s">
        <v>14</v>
      </c>
      <c r="E3" s="42" t="s">
        <v>229</v>
      </c>
      <c r="F3" s="63" t="s">
        <v>230</v>
      </c>
      <c r="G3" s="42" t="s">
        <v>231</v>
      </c>
      <c r="H3" s="42" t="s">
        <v>232</v>
      </c>
      <c r="I3" s="42" t="s">
        <v>233</v>
      </c>
      <c r="J3" t="s">
        <v>338</v>
      </c>
      <c r="K3" s="42" t="s">
        <v>339</v>
      </c>
      <c r="L3" s="46"/>
      <c r="M3" s="46"/>
      <c r="O3" s="45" t="s">
        <v>340</v>
      </c>
      <c r="P3" s="45" t="s">
        <v>341</v>
      </c>
      <c r="Q3" s="45" t="s">
        <v>342</v>
      </c>
      <c r="R3" s="45" t="s">
        <v>343</v>
      </c>
      <c r="S3" s="45" t="s">
        <v>363</v>
      </c>
      <c r="T3" t="s">
        <v>294</v>
      </c>
      <c r="U3" t="s">
        <v>296</v>
      </c>
      <c r="V3" t="s">
        <v>348</v>
      </c>
      <c r="W3" t="s">
        <v>355</v>
      </c>
    </row>
    <row r="4" spans="1:25" ht="15">
      <c r="A4" t="s">
        <v>10</v>
      </c>
      <c r="B4" t="s">
        <v>365</v>
      </c>
      <c r="C4" t="s">
        <v>227</v>
      </c>
      <c r="D4" t="s">
        <v>14</v>
      </c>
      <c r="E4" s="42" t="s">
        <v>229</v>
      </c>
      <c r="F4" s="63" t="s">
        <v>230</v>
      </c>
      <c r="G4" s="42" t="s">
        <v>231</v>
      </c>
      <c r="H4" s="42" t="s">
        <v>232</v>
      </c>
      <c r="I4" s="42" t="s">
        <v>233</v>
      </c>
      <c r="J4" t="s">
        <v>338</v>
      </c>
      <c r="K4" s="42" t="s">
        <v>339</v>
      </c>
      <c r="L4" s="46"/>
      <c r="M4" s="46"/>
      <c r="O4" s="45" t="s">
        <v>340</v>
      </c>
      <c r="P4" s="45" t="s">
        <v>341</v>
      </c>
      <c r="Q4" s="45" t="s">
        <v>342</v>
      </c>
      <c r="R4" s="45" t="s">
        <v>343</v>
      </c>
      <c r="S4" s="45" t="s">
        <v>363</v>
      </c>
      <c r="T4" t="s">
        <v>294</v>
      </c>
      <c r="U4" t="s">
        <v>296</v>
      </c>
      <c r="V4" t="s">
        <v>348</v>
      </c>
      <c r="W4" t="s">
        <v>355</v>
      </c>
      <c r="X4" s="70"/>
      <c r="Y4" s="70"/>
    </row>
    <row r="5" spans="12:13" ht="15">
      <c r="L5" s="46"/>
      <c r="M5" s="4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"/>
  <dimension ref="A1:AM115"/>
  <sheetViews>
    <sheetView zoomScalePageLayoutView="0" workbookViewId="0" topLeftCell="A1">
      <selection activeCell="K113" sqref="K113"/>
    </sheetView>
  </sheetViews>
  <sheetFormatPr defaultColWidth="9.140625" defaultRowHeight="15"/>
  <cols>
    <col min="1" max="1" width="9.140625" style="72" customWidth="1"/>
    <col min="2" max="2" width="61.28125" style="72" customWidth="1"/>
    <col min="3" max="3" width="7.140625" style="72" bestFit="1" customWidth="1"/>
    <col min="4" max="4" width="25.57421875" style="72" customWidth="1"/>
    <col min="5" max="5" width="9.57421875" style="72" customWidth="1"/>
    <col min="6" max="6" width="14.28125" style="72" customWidth="1"/>
    <col min="7" max="7" width="19.421875" style="72" customWidth="1"/>
    <col min="8" max="8" width="9.57421875" style="72" customWidth="1"/>
    <col min="9" max="9" width="19.8515625" style="72" bestFit="1" customWidth="1"/>
    <col min="10" max="11" width="13.57421875" style="72" customWidth="1"/>
    <col min="12" max="12" width="12.8515625" style="72" bestFit="1" customWidth="1"/>
    <col min="13" max="14" width="12.8515625" style="72" customWidth="1"/>
    <col min="15" max="15" width="19.8515625" style="72" customWidth="1"/>
    <col min="16" max="22" width="9.140625" style="72" customWidth="1"/>
    <col min="23" max="24" width="13.421875" style="72" customWidth="1"/>
    <col min="25" max="16384" width="9.140625" style="72" customWidth="1"/>
  </cols>
  <sheetData>
    <row r="1" spans="1:39" ht="15">
      <c r="A1" s="72" t="s">
        <v>2</v>
      </c>
      <c r="B1" s="72" t="s">
        <v>3</v>
      </c>
      <c r="C1" s="72" t="s">
        <v>13</v>
      </c>
      <c r="D1" s="72" t="s">
        <v>11</v>
      </c>
      <c r="E1" s="72" t="s">
        <v>14</v>
      </c>
      <c r="F1" s="72" t="s">
        <v>79</v>
      </c>
      <c r="G1" s="72" t="s">
        <v>15</v>
      </c>
      <c r="H1" s="72" t="s">
        <v>1</v>
      </c>
      <c r="I1" s="72" t="s">
        <v>16</v>
      </c>
      <c r="J1" s="72" t="s">
        <v>0</v>
      </c>
      <c r="K1" s="72" t="s">
        <v>31</v>
      </c>
      <c r="L1" s="72" t="s">
        <v>32</v>
      </c>
      <c r="M1" s="72" t="s">
        <v>213</v>
      </c>
      <c r="N1" s="72" t="s">
        <v>214</v>
      </c>
      <c r="T1" s="110" t="s">
        <v>21</v>
      </c>
      <c r="Z1" s="72" t="s">
        <v>235</v>
      </c>
      <c r="AA1" s="72" t="s">
        <v>236</v>
      </c>
      <c r="AB1" s="72" t="s">
        <v>212</v>
      </c>
      <c r="AE1" s="72" t="s">
        <v>7</v>
      </c>
      <c r="AH1" s="72" t="s">
        <v>8</v>
      </c>
      <c r="AM1" s="107">
        <v>1</v>
      </c>
    </row>
    <row r="2" spans="1:39" ht="15">
      <c r="A2" s="72">
        <v>1</v>
      </c>
      <c r="B2" s="72" t="s">
        <v>28</v>
      </c>
      <c r="C2" s="72">
        <f>+ROW(A2)</f>
        <v>2</v>
      </c>
      <c r="D2" s="72" t="s">
        <v>247</v>
      </c>
      <c r="E2" s="72" t="s">
        <v>44</v>
      </c>
      <c r="F2" s="72">
        <v>6</v>
      </c>
      <c r="G2" s="72" t="s">
        <v>5</v>
      </c>
      <c r="H2" s="72">
        <v>2</v>
      </c>
      <c r="I2" s="72" t="s">
        <v>4</v>
      </c>
      <c r="J2" s="72">
        <v>3</v>
      </c>
      <c r="K2" s="72">
        <v>1000</v>
      </c>
      <c r="L2" s="72">
        <v>0.2</v>
      </c>
      <c r="S2" s="72">
        <f aca="true" t="shared" si="0" ref="S2:S65">+C2</f>
        <v>2</v>
      </c>
      <c r="T2" s="110" t="s">
        <v>20</v>
      </c>
      <c r="Z2" s="72">
        <v>0</v>
      </c>
      <c r="AA2" s="72">
        <v>0</v>
      </c>
      <c r="AB2" s="72">
        <f>+IF(M2="",H2,"F")</f>
        <v>2</v>
      </c>
      <c r="AC2" s="72" t="str">
        <f>+IF(Z2=1,G2&amp;CHAR(10)&amp;"INSERIRE VALORE",G2)</f>
        <v>Infiammabile</v>
      </c>
      <c r="AE2" s="72" t="e">
        <f>+VLOOKUP($V2,A2:R22,8)</f>
        <v>#N/A</v>
      </c>
      <c r="AF2" s="72" t="str">
        <f>+IF(G2="","",AC2)</f>
        <v>Infiammabile</v>
      </c>
      <c r="AM2" s="107">
        <v>2</v>
      </c>
    </row>
    <row r="3" spans="3:39" ht="15">
      <c r="C3" s="72">
        <f>+ROW(A3)</f>
        <v>3</v>
      </c>
      <c r="D3" s="72" t="s">
        <v>248</v>
      </c>
      <c r="E3" s="72" t="s">
        <v>201</v>
      </c>
      <c r="F3" s="72">
        <v>100</v>
      </c>
      <c r="G3" s="72" t="s">
        <v>6</v>
      </c>
      <c r="H3" s="72">
        <v>1</v>
      </c>
      <c r="I3" s="72" t="s">
        <v>9</v>
      </c>
      <c r="J3" s="72">
        <v>1</v>
      </c>
      <c r="S3" s="72">
        <f t="shared" si="0"/>
        <v>3</v>
      </c>
      <c r="Z3" s="72">
        <v>0</v>
      </c>
      <c r="AA3" s="72">
        <v>0</v>
      </c>
      <c r="AB3" s="72">
        <f aca="true" t="shared" si="1" ref="AB3:AB65">+IF(M3="",H3,"F")</f>
        <v>1</v>
      </c>
      <c r="AC3" s="72" t="str">
        <f aca="true" t="shared" si="2" ref="AC3:AC65">+IF(Z3=1,G3&amp;CHAR(10)&amp;"INSERIRE VALORE",G3)</f>
        <v>Comburente</v>
      </c>
      <c r="AF3" s="72" t="str">
        <f aca="true" t="shared" si="3" ref="AF3:AF65">+IF(G3="","",AC3)</f>
        <v>Comburente</v>
      </c>
      <c r="AM3" s="107">
        <v>3</v>
      </c>
    </row>
    <row r="4" spans="1:39" ht="15">
      <c r="A4" s="72">
        <v>2</v>
      </c>
      <c r="B4" s="72" t="s">
        <v>29</v>
      </c>
      <c r="C4" s="72">
        <f aca="true" t="shared" si="4" ref="C4:C52">+ROW(A4)</f>
        <v>4</v>
      </c>
      <c r="D4" s="72" t="s">
        <v>249</v>
      </c>
      <c r="E4" s="72" t="s">
        <v>44</v>
      </c>
      <c r="F4" s="72">
        <v>6</v>
      </c>
      <c r="G4" s="72" t="s">
        <v>5</v>
      </c>
      <c r="H4" s="72">
        <v>2</v>
      </c>
      <c r="I4" s="72" t="s">
        <v>4</v>
      </c>
      <c r="J4" s="72">
        <v>3</v>
      </c>
      <c r="K4" s="72">
        <v>1000</v>
      </c>
      <c r="L4" s="72">
        <v>0.2</v>
      </c>
      <c r="S4" s="72">
        <f t="shared" si="0"/>
        <v>4</v>
      </c>
      <c r="Z4" s="72">
        <v>0</v>
      </c>
      <c r="AA4" s="72">
        <v>0</v>
      </c>
      <c r="AB4" s="72">
        <f t="shared" si="1"/>
        <v>2</v>
      </c>
      <c r="AC4" s="72" t="str">
        <f t="shared" si="2"/>
        <v>Infiammabile</v>
      </c>
      <c r="AF4" s="72" t="str">
        <f t="shared" si="3"/>
        <v>Infiammabile</v>
      </c>
      <c r="AM4" s="107">
        <v>4</v>
      </c>
    </row>
    <row r="5" spans="3:39" ht="15">
      <c r="C5" s="72">
        <f t="shared" si="4"/>
        <v>5</v>
      </c>
      <c r="D5" s="72" t="s">
        <v>33</v>
      </c>
      <c r="E5" s="72" t="s">
        <v>201</v>
      </c>
      <c r="F5" s="72">
        <v>4</v>
      </c>
      <c r="G5" s="72" t="s">
        <v>6</v>
      </c>
      <c r="H5" s="72">
        <v>1</v>
      </c>
      <c r="I5" s="72" t="s">
        <v>9</v>
      </c>
      <c r="J5" s="72">
        <v>1</v>
      </c>
      <c r="S5" s="72">
        <f t="shared" si="0"/>
        <v>5</v>
      </c>
      <c r="Z5" s="72">
        <v>0</v>
      </c>
      <c r="AA5" s="72">
        <v>0</v>
      </c>
      <c r="AB5" s="72">
        <f t="shared" si="1"/>
        <v>1</v>
      </c>
      <c r="AC5" s="72" t="str">
        <f t="shared" si="2"/>
        <v>Comburente</v>
      </c>
      <c r="AF5" s="72" t="str">
        <f t="shared" si="3"/>
        <v>Comburente</v>
      </c>
      <c r="AM5" s="107">
        <v>5</v>
      </c>
    </row>
    <row r="6" spans="1:39" ht="15">
      <c r="A6" s="72">
        <v>3</v>
      </c>
      <c r="B6" s="72" t="s">
        <v>30</v>
      </c>
      <c r="C6" s="72">
        <f t="shared" si="4"/>
        <v>6</v>
      </c>
      <c r="D6" s="72" t="s">
        <v>47</v>
      </c>
      <c r="E6" s="72" t="s">
        <v>44</v>
      </c>
      <c r="F6" s="72">
        <v>6</v>
      </c>
      <c r="G6" s="72" t="s">
        <v>33</v>
      </c>
      <c r="H6" s="72">
        <v>1</v>
      </c>
      <c r="I6" s="72" t="s">
        <v>4</v>
      </c>
      <c r="J6" s="72">
        <v>3</v>
      </c>
      <c r="K6" s="72">
        <v>200</v>
      </c>
      <c r="L6" s="72">
        <v>0.1</v>
      </c>
      <c r="S6" s="72">
        <f t="shared" si="0"/>
        <v>6</v>
      </c>
      <c r="Z6" s="72">
        <v>0</v>
      </c>
      <c r="AA6" s="72">
        <v>0</v>
      </c>
      <c r="AB6" s="72">
        <f t="shared" si="1"/>
        <v>1</v>
      </c>
      <c r="AC6" s="72" t="str">
        <f t="shared" si="2"/>
        <v>Solo Deposito</v>
      </c>
      <c r="AF6" s="72" t="str">
        <f t="shared" si="3"/>
        <v>Solo Deposito</v>
      </c>
      <c r="AM6" s="107">
        <v>9</v>
      </c>
    </row>
    <row r="7" spans="3:39" ht="15">
      <c r="C7" s="72">
        <f t="shared" si="4"/>
        <v>7</v>
      </c>
      <c r="G7" s="72" t="s">
        <v>34</v>
      </c>
      <c r="H7" s="72">
        <v>1.2</v>
      </c>
      <c r="I7" s="72" t="s">
        <v>9</v>
      </c>
      <c r="J7" s="72">
        <v>1</v>
      </c>
      <c r="K7" s="72">
        <v>400</v>
      </c>
      <c r="L7" s="72">
        <v>0.1</v>
      </c>
      <c r="S7" s="72">
        <f t="shared" si="0"/>
        <v>7</v>
      </c>
      <c r="Z7" s="72">
        <v>0</v>
      </c>
      <c r="AA7" s="72">
        <v>0</v>
      </c>
      <c r="AB7" s="72">
        <f t="shared" si="1"/>
        <v>1.2</v>
      </c>
      <c r="AC7" s="72" t="str">
        <f t="shared" si="2"/>
        <v>Deposito e rivendita</v>
      </c>
      <c r="AF7" s="72" t="str">
        <f t="shared" si="3"/>
        <v>Deposito e rivendita</v>
      </c>
      <c r="AM7" s="107">
        <v>12</v>
      </c>
    </row>
    <row r="8" spans="1:39" ht="15">
      <c r="A8" s="72">
        <v>4</v>
      </c>
      <c r="B8" s="72" t="s">
        <v>35</v>
      </c>
      <c r="C8" s="72">
        <f t="shared" si="4"/>
        <v>8</v>
      </c>
      <c r="D8" s="72" t="s">
        <v>53</v>
      </c>
      <c r="E8" s="72" t="s">
        <v>54</v>
      </c>
      <c r="F8" s="72">
        <v>300</v>
      </c>
      <c r="G8" s="72" t="s">
        <v>33</v>
      </c>
      <c r="H8" s="72">
        <v>1</v>
      </c>
      <c r="I8" s="72" t="s">
        <v>4</v>
      </c>
      <c r="J8" s="72">
        <v>3</v>
      </c>
      <c r="K8" s="72">
        <v>200</v>
      </c>
      <c r="L8" s="72">
        <v>0.1</v>
      </c>
      <c r="S8" s="72">
        <f t="shared" si="0"/>
        <v>8</v>
      </c>
      <c r="Z8" s="72">
        <v>0</v>
      </c>
      <c r="AA8" s="72">
        <v>0</v>
      </c>
      <c r="AB8" s="72">
        <f t="shared" si="1"/>
        <v>1</v>
      </c>
      <c r="AC8" s="72" t="str">
        <f t="shared" si="2"/>
        <v>Solo Deposito</v>
      </c>
      <c r="AF8" s="72" t="str">
        <f t="shared" si="3"/>
        <v>Solo Deposito</v>
      </c>
      <c r="AM8" s="107">
        <v>13</v>
      </c>
    </row>
    <row r="9" spans="3:39" ht="15">
      <c r="C9" s="72">
        <f t="shared" si="4"/>
        <v>9</v>
      </c>
      <c r="G9" s="72" t="s">
        <v>34</v>
      </c>
      <c r="H9" s="72">
        <v>1.2</v>
      </c>
      <c r="I9" s="72" t="s">
        <v>9</v>
      </c>
      <c r="J9" s="72">
        <v>1</v>
      </c>
      <c r="K9" s="72">
        <v>400</v>
      </c>
      <c r="L9" s="72">
        <v>0.1</v>
      </c>
      <c r="S9" s="72">
        <f t="shared" si="0"/>
        <v>9</v>
      </c>
      <c r="Z9" s="72">
        <v>0</v>
      </c>
      <c r="AA9" s="72">
        <v>0</v>
      </c>
      <c r="AB9" s="72">
        <f t="shared" si="1"/>
        <v>1.2</v>
      </c>
      <c r="AC9" s="72" t="str">
        <f t="shared" si="2"/>
        <v>Deposito e rivendita</v>
      </c>
      <c r="AF9" s="72" t="str">
        <f t="shared" si="3"/>
        <v>Deposito e rivendita</v>
      </c>
      <c r="AM9" s="107">
        <v>14</v>
      </c>
    </row>
    <row r="10" spans="1:39" ht="15">
      <c r="A10" s="72">
        <v>5</v>
      </c>
      <c r="B10" s="72" t="s">
        <v>36</v>
      </c>
      <c r="C10" s="72">
        <f t="shared" si="4"/>
        <v>10</v>
      </c>
      <c r="D10" s="110" t="s">
        <v>41</v>
      </c>
      <c r="E10" s="72" t="s">
        <v>54</v>
      </c>
      <c r="F10" s="72">
        <v>300</v>
      </c>
      <c r="G10" s="72" t="s">
        <v>4</v>
      </c>
      <c r="H10" s="72">
        <v>3</v>
      </c>
      <c r="I10" s="110" t="s">
        <v>37</v>
      </c>
      <c r="J10" s="72">
        <v>1</v>
      </c>
      <c r="K10" s="72">
        <v>200</v>
      </c>
      <c r="L10" s="72">
        <v>0.1</v>
      </c>
      <c r="S10" s="72">
        <f t="shared" si="0"/>
        <v>10</v>
      </c>
      <c r="Z10" s="72">
        <v>0</v>
      </c>
      <c r="AA10" s="72">
        <v>0</v>
      </c>
      <c r="AB10" s="72">
        <f t="shared" si="1"/>
        <v>3</v>
      </c>
      <c r="AC10" s="72" t="str">
        <f t="shared" si="2"/>
        <v>Direttiva Seveso</v>
      </c>
      <c r="AF10" s="72" t="str">
        <f t="shared" si="3"/>
        <v>Direttiva Seveso</v>
      </c>
      <c r="AM10" s="107">
        <v>15</v>
      </c>
    </row>
    <row r="11" spans="3:39" ht="15">
      <c r="C11" s="72">
        <f t="shared" si="4"/>
        <v>11</v>
      </c>
      <c r="G11" s="72" t="s">
        <v>9</v>
      </c>
      <c r="H11" s="72">
        <v>1</v>
      </c>
      <c r="J11" s="72">
        <v>1</v>
      </c>
      <c r="S11" s="72">
        <f t="shared" si="0"/>
        <v>11</v>
      </c>
      <c r="Z11" s="72">
        <v>0</v>
      </c>
      <c r="AA11" s="72">
        <v>0</v>
      </c>
      <c r="AB11" s="72">
        <f t="shared" si="1"/>
        <v>1</v>
      </c>
      <c r="AC11" s="72" t="str">
        <f t="shared" si="2"/>
        <v>Non Direttiva Seveso</v>
      </c>
      <c r="AF11" s="72" t="str">
        <f t="shared" si="3"/>
        <v>Non Direttiva Seveso</v>
      </c>
      <c r="AM11" s="107">
        <v>18</v>
      </c>
    </row>
    <row r="12" spans="1:39" s="71" customFormat="1" ht="15">
      <c r="A12" s="71">
        <v>6</v>
      </c>
      <c r="B12" s="111" t="s">
        <v>370</v>
      </c>
      <c r="C12" s="71">
        <f t="shared" si="4"/>
        <v>12</v>
      </c>
      <c r="D12" s="106" t="s">
        <v>371</v>
      </c>
      <c r="E12" s="71" t="s">
        <v>48</v>
      </c>
      <c r="F12" s="71">
        <v>80</v>
      </c>
      <c r="G12" s="106" t="s">
        <v>37</v>
      </c>
      <c r="H12" s="71">
        <v>1</v>
      </c>
      <c r="I12" s="106" t="s">
        <v>37</v>
      </c>
      <c r="J12" s="71">
        <v>1</v>
      </c>
      <c r="S12" s="71">
        <f t="shared" si="0"/>
        <v>12</v>
      </c>
      <c r="Z12" s="71">
        <v>0</v>
      </c>
      <c r="AA12" s="71">
        <v>0</v>
      </c>
      <c r="AB12" s="71">
        <f t="shared" si="1"/>
        <v>1</v>
      </c>
      <c r="AC12" s="71" t="str">
        <f t="shared" si="2"/>
        <v>Non Def.</v>
      </c>
      <c r="AF12" s="71" t="str">
        <f t="shared" si="3"/>
        <v>Non Def.</v>
      </c>
      <c r="AM12" s="107">
        <v>24</v>
      </c>
    </row>
    <row r="13" spans="1:39" s="71" customFormat="1" ht="15">
      <c r="A13" s="71">
        <v>7</v>
      </c>
      <c r="B13" s="111" t="s">
        <v>370</v>
      </c>
      <c r="C13" s="71">
        <f t="shared" si="4"/>
        <v>13</v>
      </c>
      <c r="D13" s="106" t="s">
        <v>371</v>
      </c>
      <c r="E13" s="71" t="s">
        <v>44</v>
      </c>
      <c r="F13" s="71">
        <v>8</v>
      </c>
      <c r="G13" s="106" t="s">
        <v>37</v>
      </c>
      <c r="H13" s="71">
        <v>1</v>
      </c>
      <c r="I13" s="106" t="s">
        <v>37</v>
      </c>
      <c r="J13" s="71">
        <v>1</v>
      </c>
      <c r="S13" s="71">
        <f t="shared" si="0"/>
        <v>13</v>
      </c>
      <c r="Z13" s="71">
        <v>0</v>
      </c>
      <c r="AA13" s="71">
        <v>0</v>
      </c>
      <c r="AB13" s="71">
        <f t="shared" si="1"/>
        <v>1</v>
      </c>
      <c r="AC13" s="71" t="str">
        <f t="shared" si="2"/>
        <v>Non Def.</v>
      </c>
      <c r="AF13" s="71" t="str">
        <f t="shared" si="3"/>
        <v>Non Def.</v>
      </c>
      <c r="AM13" s="107">
        <v>25</v>
      </c>
    </row>
    <row r="14" spans="1:39" s="71" customFormat="1" ht="15">
      <c r="A14" s="71">
        <v>8</v>
      </c>
      <c r="B14" s="111" t="s">
        <v>370</v>
      </c>
      <c r="C14" s="71">
        <f t="shared" si="4"/>
        <v>14</v>
      </c>
      <c r="D14" s="106" t="s">
        <v>371</v>
      </c>
      <c r="E14" s="71" t="s">
        <v>48</v>
      </c>
      <c r="F14" s="71">
        <v>20</v>
      </c>
      <c r="G14" s="106" t="s">
        <v>37</v>
      </c>
      <c r="H14" s="71">
        <v>1</v>
      </c>
      <c r="I14" s="106" t="s">
        <v>37</v>
      </c>
      <c r="J14" s="71">
        <v>1</v>
      </c>
      <c r="S14" s="71">
        <f t="shared" si="0"/>
        <v>14</v>
      </c>
      <c r="Z14" s="71">
        <v>0</v>
      </c>
      <c r="AA14" s="71">
        <v>0</v>
      </c>
      <c r="AB14" s="71">
        <f t="shared" si="1"/>
        <v>1</v>
      </c>
      <c r="AC14" s="71" t="str">
        <f t="shared" si="2"/>
        <v>Non Def.</v>
      </c>
      <c r="AF14" s="71" t="str">
        <f t="shared" si="3"/>
        <v>Non Def.</v>
      </c>
      <c r="AM14" s="107">
        <v>26</v>
      </c>
    </row>
    <row r="15" spans="1:39" ht="15">
      <c r="A15" s="72">
        <v>9</v>
      </c>
      <c r="B15" s="72" t="s">
        <v>46</v>
      </c>
      <c r="C15" s="72">
        <f t="shared" si="4"/>
        <v>15</v>
      </c>
      <c r="D15" s="72" t="s">
        <v>372</v>
      </c>
      <c r="E15" s="72" t="s">
        <v>40</v>
      </c>
      <c r="F15" s="72">
        <v>1000</v>
      </c>
      <c r="G15" s="110" t="s">
        <v>37</v>
      </c>
      <c r="H15" s="72">
        <v>1</v>
      </c>
      <c r="I15" s="110" t="s">
        <v>37</v>
      </c>
      <c r="J15" s="72">
        <v>1</v>
      </c>
      <c r="S15" s="72">
        <f>+C15</f>
        <v>15</v>
      </c>
      <c r="Z15" s="72">
        <v>0</v>
      </c>
      <c r="AA15" s="72">
        <v>0</v>
      </c>
      <c r="AB15" s="72">
        <f>+IF(M15="",H15,"F")</f>
        <v>1</v>
      </c>
      <c r="AC15" s="72" t="str">
        <f>+IF(Z15=1,G15&amp;CHAR(10)&amp;"INSERIRE VALORE",G15)</f>
        <v>Non Def.</v>
      </c>
      <c r="AF15" s="72" t="str">
        <f>+IF(G15="","",AC15)</f>
        <v>Non Def.</v>
      </c>
      <c r="AM15" s="107">
        <v>27</v>
      </c>
    </row>
    <row r="16" spans="1:39" s="71" customFormat="1" ht="15">
      <c r="A16" s="71">
        <v>10</v>
      </c>
      <c r="B16" s="111" t="s">
        <v>370</v>
      </c>
      <c r="C16" s="71">
        <f t="shared" si="4"/>
        <v>16</v>
      </c>
      <c r="D16" s="106" t="s">
        <v>371</v>
      </c>
      <c r="E16" s="71" t="s">
        <v>44</v>
      </c>
      <c r="F16" s="71">
        <v>6</v>
      </c>
      <c r="G16" s="71" t="s">
        <v>5</v>
      </c>
      <c r="H16" s="71">
        <v>2</v>
      </c>
      <c r="I16" s="106" t="s">
        <v>37</v>
      </c>
      <c r="J16" s="71">
        <v>1</v>
      </c>
      <c r="K16" s="71">
        <v>1000</v>
      </c>
      <c r="L16" s="71">
        <v>0.1</v>
      </c>
      <c r="S16" s="71">
        <f t="shared" si="0"/>
        <v>16</v>
      </c>
      <c r="Z16" s="71">
        <v>0</v>
      </c>
      <c r="AA16" s="71">
        <v>0</v>
      </c>
      <c r="AB16" s="71">
        <f t="shared" si="1"/>
        <v>2</v>
      </c>
      <c r="AC16" s="71" t="str">
        <f t="shared" si="2"/>
        <v>Infiammabile</v>
      </c>
      <c r="AF16" s="71" t="str">
        <f t="shared" si="3"/>
        <v>Infiammabile</v>
      </c>
      <c r="AM16" s="107">
        <v>28</v>
      </c>
    </row>
    <row r="17" spans="3:39" ht="15">
      <c r="C17" s="72">
        <f t="shared" si="4"/>
        <v>17</v>
      </c>
      <c r="G17" s="72" t="s">
        <v>51</v>
      </c>
      <c r="H17" s="72">
        <v>1</v>
      </c>
      <c r="S17" s="72">
        <f t="shared" si="0"/>
        <v>17</v>
      </c>
      <c r="Z17" s="72">
        <v>0</v>
      </c>
      <c r="AA17" s="72">
        <v>0</v>
      </c>
      <c r="AB17" s="72">
        <f t="shared" si="1"/>
        <v>1</v>
      </c>
      <c r="AC17" s="72" t="str">
        <f t="shared" si="2"/>
        <v>Combustibile</v>
      </c>
      <c r="AF17" s="72" t="str">
        <f t="shared" si="3"/>
        <v>Combustibile</v>
      </c>
      <c r="AM17" s="107">
        <v>31</v>
      </c>
    </row>
    <row r="18" spans="1:39" s="71" customFormat="1" ht="15">
      <c r="A18" s="71">
        <v>11</v>
      </c>
      <c r="B18" s="111" t="s">
        <v>370</v>
      </c>
      <c r="C18" s="71">
        <f t="shared" si="4"/>
        <v>18</v>
      </c>
      <c r="D18" s="106" t="s">
        <v>371</v>
      </c>
      <c r="E18" s="71" t="s">
        <v>44</v>
      </c>
      <c r="F18" s="71">
        <v>6</v>
      </c>
      <c r="G18" s="71" t="s">
        <v>5</v>
      </c>
      <c r="H18" s="71">
        <v>2</v>
      </c>
      <c r="I18" s="106" t="s">
        <v>37</v>
      </c>
      <c r="J18" s="71">
        <v>1</v>
      </c>
      <c r="K18" s="71">
        <v>1000</v>
      </c>
      <c r="L18" s="71">
        <v>0.1</v>
      </c>
      <c r="S18" s="71">
        <f t="shared" si="0"/>
        <v>18</v>
      </c>
      <c r="Z18" s="71">
        <v>0</v>
      </c>
      <c r="AA18" s="71">
        <v>0</v>
      </c>
      <c r="AB18" s="71">
        <f t="shared" si="1"/>
        <v>2</v>
      </c>
      <c r="AC18" s="71" t="str">
        <f t="shared" si="2"/>
        <v>Infiammabile</v>
      </c>
      <c r="AF18" s="71" t="str">
        <f t="shared" si="3"/>
        <v>Infiammabile</v>
      </c>
      <c r="AM18" s="107">
        <v>32</v>
      </c>
    </row>
    <row r="19" spans="3:39" ht="15">
      <c r="C19" s="72">
        <f t="shared" si="4"/>
        <v>19</v>
      </c>
      <c r="G19" s="72" t="s">
        <v>51</v>
      </c>
      <c r="H19" s="72">
        <v>1</v>
      </c>
      <c r="S19" s="72">
        <f t="shared" si="0"/>
        <v>19</v>
      </c>
      <c r="Z19" s="72">
        <v>0</v>
      </c>
      <c r="AA19" s="72">
        <v>0</v>
      </c>
      <c r="AB19" s="72">
        <f t="shared" si="1"/>
        <v>1</v>
      </c>
      <c r="AC19" s="72" t="str">
        <f t="shared" si="2"/>
        <v>Combustibile</v>
      </c>
      <c r="AF19" s="72" t="str">
        <f t="shared" si="3"/>
        <v>Combustibile</v>
      </c>
      <c r="AM19" s="107">
        <v>33</v>
      </c>
    </row>
    <row r="20" spans="1:39" ht="15">
      <c r="A20" s="72">
        <v>12</v>
      </c>
      <c r="B20" s="72" t="s">
        <v>52</v>
      </c>
      <c r="C20" s="72">
        <f t="shared" si="4"/>
        <v>20</v>
      </c>
      <c r="D20" s="72" t="s">
        <v>53</v>
      </c>
      <c r="E20" s="72" t="s">
        <v>54</v>
      </c>
      <c r="F20" s="72">
        <v>150</v>
      </c>
      <c r="G20" s="72" t="s">
        <v>5</v>
      </c>
      <c r="H20" s="72">
        <v>1.5</v>
      </c>
      <c r="I20" s="72" t="s">
        <v>55</v>
      </c>
      <c r="J20" s="72">
        <v>1</v>
      </c>
      <c r="K20" s="72">
        <v>100</v>
      </c>
      <c r="L20" s="72">
        <v>0.1</v>
      </c>
      <c r="S20" s="72">
        <f t="shared" si="0"/>
        <v>20</v>
      </c>
      <c r="Z20" s="72">
        <v>0</v>
      </c>
      <c r="AA20" s="72">
        <v>0</v>
      </c>
      <c r="AB20" s="72">
        <f t="shared" si="1"/>
        <v>1.5</v>
      </c>
      <c r="AC20" s="72" t="str">
        <f t="shared" si="2"/>
        <v>Infiammabile</v>
      </c>
      <c r="AF20" s="72" t="str">
        <f t="shared" si="3"/>
        <v>Infiammabile</v>
      </c>
      <c r="AM20" s="107">
        <v>34</v>
      </c>
    </row>
    <row r="21" spans="3:39" ht="15">
      <c r="C21" s="72">
        <f t="shared" si="4"/>
        <v>21</v>
      </c>
      <c r="G21" s="72" t="s">
        <v>51</v>
      </c>
      <c r="H21" s="72">
        <v>1</v>
      </c>
      <c r="I21" s="72" t="s">
        <v>56</v>
      </c>
      <c r="J21" s="72">
        <v>1.5</v>
      </c>
      <c r="K21" s="72">
        <v>100</v>
      </c>
      <c r="L21" s="72">
        <v>0.1</v>
      </c>
      <c r="S21" s="72">
        <f t="shared" si="0"/>
        <v>21</v>
      </c>
      <c r="Z21" s="72">
        <v>0</v>
      </c>
      <c r="AA21" s="72">
        <v>0</v>
      </c>
      <c r="AB21" s="72">
        <f t="shared" si="1"/>
        <v>1</v>
      </c>
      <c r="AC21" s="72" t="str">
        <f t="shared" si="2"/>
        <v>Combustibile</v>
      </c>
      <c r="AF21" s="72" t="str">
        <f t="shared" si="3"/>
        <v>Combustibile</v>
      </c>
      <c r="AM21" s="107">
        <v>35</v>
      </c>
    </row>
    <row r="22" spans="1:39" ht="15">
      <c r="A22" s="72">
        <v>13</v>
      </c>
      <c r="B22" s="72" t="s">
        <v>57</v>
      </c>
      <c r="C22" s="72">
        <f t="shared" si="4"/>
        <v>22</v>
      </c>
      <c r="D22" s="72" t="s">
        <v>39</v>
      </c>
      <c r="E22" s="72" t="s">
        <v>40</v>
      </c>
      <c r="F22" s="72">
        <v>100</v>
      </c>
      <c r="G22" s="72" t="s">
        <v>5</v>
      </c>
      <c r="H22" s="72">
        <v>1.5</v>
      </c>
      <c r="I22" s="72" t="s">
        <v>58</v>
      </c>
      <c r="J22" s="72">
        <v>1</v>
      </c>
      <c r="S22" s="72">
        <f t="shared" si="0"/>
        <v>22</v>
      </c>
      <c r="Z22" s="72">
        <v>0</v>
      </c>
      <c r="AA22" s="72">
        <v>0</v>
      </c>
      <c r="AB22" s="72">
        <f t="shared" si="1"/>
        <v>1.5</v>
      </c>
      <c r="AC22" s="72" t="str">
        <f t="shared" si="2"/>
        <v>Infiammabile</v>
      </c>
      <c r="AF22" s="72" t="str">
        <f t="shared" si="3"/>
        <v>Infiammabile</v>
      </c>
      <c r="AM22" s="107">
        <v>36</v>
      </c>
    </row>
    <row r="23" spans="3:39" ht="15">
      <c r="C23" s="72">
        <f t="shared" si="4"/>
        <v>23</v>
      </c>
      <c r="G23" s="72" t="s">
        <v>51</v>
      </c>
      <c r="H23" s="72">
        <v>1</v>
      </c>
      <c r="I23" s="72" t="s">
        <v>59</v>
      </c>
      <c r="J23" s="72">
        <v>1.5</v>
      </c>
      <c r="S23" s="72">
        <f t="shared" si="0"/>
        <v>23</v>
      </c>
      <c r="Z23" s="72">
        <v>0</v>
      </c>
      <c r="AA23" s="72">
        <v>0</v>
      </c>
      <c r="AB23" s="72">
        <f t="shared" si="1"/>
        <v>1</v>
      </c>
      <c r="AC23" s="72" t="str">
        <f t="shared" si="2"/>
        <v>Combustibile</v>
      </c>
      <c r="AF23" s="72" t="str">
        <f t="shared" si="3"/>
        <v>Combustibile</v>
      </c>
      <c r="AM23" s="107">
        <v>37</v>
      </c>
    </row>
    <row r="24" spans="1:39" s="107" customFormat="1" ht="30">
      <c r="A24" s="107">
        <v>14</v>
      </c>
      <c r="B24" s="107" t="s">
        <v>60</v>
      </c>
      <c r="C24" s="107">
        <f t="shared" si="4"/>
        <v>24</v>
      </c>
      <c r="D24" s="107" t="s">
        <v>374</v>
      </c>
      <c r="E24" s="107" t="s">
        <v>40</v>
      </c>
      <c r="F24" s="107">
        <v>1000</v>
      </c>
      <c r="G24" s="112" t="s">
        <v>373</v>
      </c>
      <c r="H24" s="107" t="s">
        <v>212</v>
      </c>
      <c r="I24" s="108" t="s">
        <v>37</v>
      </c>
      <c r="J24" s="107">
        <v>1</v>
      </c>
      <c r="M24" s="72">
        <v>2</v>
      </c>
      <c r="N24" s="72">
        <v>20</v>
      </c>
      <c r="O24" s="72" t="s">
        <v>82</v>
      </c>
      <c r="P24" s="72"/>
      <c r="Q24" s="72"/>
      <c r="S24" s="107">
        <f t="shared" si="0"/>
        <v>24</v>
      </c>
      <c r="Z24" s="107">
        <v>0</v>
      </c>
      <c r="AA24" s="107">
        <v>0</v>
      </c>
      <c r="AB24" s="107" t="str">
        <f t="shared" si="1"/>
        <v>F</v>
      </c>
      <c r="AC24" s="107" t="str">
        <f t="shared" si="2"/>
        <v>Q.tà giornaliera [kg]
INSERIRE VALORE</v>
      </c>
      <c r="AF24" s="107" t="str">
        <f t="shared" si="3"/>
        <v>Q.tà giornaliera [kg]
INSERIRE VALORE</v>
      </c>
      <c r="AM24" s="107">
        <v>38</v>
      </c>
    </row>
    <row r="25" spans="1:39" ht="15">
      <c r="A25" s="72">
        <v>15</v>
      </c>
      <c r="B25" s="72" t="s">
        <v>62</v>
      </c>
      <c r="C25" s="72">
        <f t="shared" si="4"/>
        <v>25</v>
      </c>
      <c r="D25" s="72" t="s">
        <v>53</v>
      </c>
      <c r="E25" s="72" t="s">
        <v>54</v>
      </c>
      <c r="F25" s="72">
        <v>150</v>
      </c>
      <c r="G25" s="72" t="s">
        <v>5</v>
      </c>
      <c r="H25" s="72">
        <v>1.5</v>
      </c>
      <c r="I25" s="72" t="s">
        <v>55</v>
      </c>
      <c r="J25" s="72">
        <v>1</v>
      </c>
      <c r="K25" s="72">
        <v>100</v>
      </c>
      <c r="L25" s="72">
        <v>0.1</v>
      </c>
      <c r="S25" s="72">
        <f t="shared" si="0"/>
        <v>25</v>
      </c>
      <c r="Z25" s="72">
        <v>0</v>
      </c>
      <c r="AA25" s="72">
        <v>0</v>
      </c>
      <c r="AB25" s="72">
        <f t="shared" si="1"/>
        <v>1.5</v>
      </c>
      <c r="AC25" s="72" t="str">
        <f t="shared" si="2"/>
        <v>Infiammabile</v>
      </c>
      <c r="AF25" s="72" t="str">
        <f t="shared" si="3"/>
        <v>Infiammabile</v>
      </c>
      <c r="AM25" s="107">
        <v>40</v>
      </c>
    </row>
    <row r="26" spans="3:39" ht="15">
      <c r="C26" s="72">
        <f t="shared" si="4"/>
        <v>26</v>
      </c>
      <c r="G26" s="72" t="s">
        <v>51</v>
      </c>
      <c r="H26" s="72">
        <v>1</v>
      </c>
      <c r="I26" s="72" t="s">
        <v>56</v>
      </c>
      <c r="J26" s="72">
        <v>1.5</v>
      </c>
      <c r="K26" s="72">
        <v>100</v>
      </c>
      <c r="L26" s="72">
        <v>0.1</v>
      </c>
      <c r="S26" s="72">
        <f t="shared" si="0"/>
        <v>26</v>
      </c>
      <c r="Z26" s="72">
        <v>0</v>
      </c>
      <c r="AA26" s="72">
        <v>0</v>
      </c>
      <c r="AB26" s="72">
        <f t="shared" si="1"/>
        <v>1</v>
      </c>
      <c r="AC26" s="72" t="str">
        <f t="shared" si="2"/>
        <v>Combustibile</v>
      </c>
      <c r="AF26" s="72" t="str">
        <f t="shared" si="3"/>
        <v>Combustibile</v>
      </c>
      <c r="AM26" s="107">
        <v>41</v>
      </c>
    </row>
    <row r="27" spans="1:39" s="71" customFormat="1" ht="15">
      <c r="A27" s="71">
        <v>16</v>
      </c>
      <c r="B27" s="111" t="s">
        <v>370</v>
      </c>
      <c r="C27" s="71">
        <f t="shared" si="4"/>
        <v>27</v>
      </c>
      <c r="D27" s="106" t="s">
        <v>371</v>
      </c>
      <c r="E27" s="71" t="s">
        <v>54</v>
      </c>
      <c r="F27" s="71">
        <v>150</v>
      </c>
      <c r="G27" s="106" t="s">
        <v>37</v>
      </c>
      <c r="H27" s="71">
        <v>1</v>
      </c>
      <c r="I27" s="106" t="s">
        <v>37</v>
      </c>
      <c r="J27" s="71">
        <v>1</v>
      </c>
      <c r="S27" s="71">
        <f t="shared" si="0"/>
        <v>27</v>
      </c>
      <c r="Z27" s="71">
        <v>0</v>
      </c>
      <c r="AA27" s="71">
        <v>0</v>
      </c>
      <c r="AB27" s="71">
        <f t="shared" si="1"/>
        <v>1</v>
      </c>
      <c r="AC27" s="71" t="str">
        <f t="shared" si="2"/>
        <v>Non Def.</v>
      </c>
      <c r="AF27" s="71" t="str">
        <f t="shared" si="3"/>
        <v>Non Def.</v>
      </c>
      <c r="AM27" s="107">
        <v>42</v>
      </c>
    </row>
    <row r="28" spans="1:39" s="71" customFormat="1" ht="15">
      <c r="A28" s="71">
        <v>17</v>
      </c>
      <c r="B28" s="111" t="s">
        <v>370</v>
      </c>
      <c r="C28" s="71">
        <f t="shared" si="4"/>
        <v>28</v>
      </c>
      <c r="D28" s="106" t="s">
        <v>371</v>
      </c>
      <c r="E28" s="71" t="s">
        <v>44</v>
      </c>
      <c r="F28" s="71">
        <v>8</v>
      </c>
      <c r="G28" s="106" t="s">
        <v>37</v>
      </c>
      <c r="H28" s="71">
        <v>1</v>
      </c>
      <c r="I28" s="106" t="s">
        <v>37</v>
      </c>
      <c r="J28" s="71">
        <v>1</v>
      </c>
      <c r="K28" s="71">
        <v>1000</v>
      </c>
      <c r="L28" s="71">
        <v>0.1</v>
      </c>
      <c r="S28" s="71">
        <f t="shared" si="0"/>
        <v>28</v>
      </c>
      <c r="Z28" s="71">
        <v>0</v>
      </c>
      <c r="AA28" s="71">
        <v>0</v>
      </c>
      <c r="AB28" s="71">
        <f t="shared" si="1"/>
        <v>1</v>
      </c>
      <c r="AC28" s="71" t="str">
        <f t="shared" si="2"/>
        <v>Non Def.</v>
      </c>
      <c r="AF28" s="71" t="str">
        <f t="shared" si="3"/>
        <v>Non Def.</v>
      </c>
      <c r="AM28" s="107">
        <v>43</v>
      </c>
    </row>
    <row r="29" spans="1:39" s="107" customFormat="1" ht="15">
      <c r="A29" s="107">
        <v>18</v>
      </c>
      <c r="B29" s="107" t="s">
        <v>64</v>
      </c>
      <c r="C29" s="107">
        <f t="shared" si="4"/>
        <v>29</v>
      </c>
      <c r="D29" s="107" t="s">
        <v>47</v>
      </c>
      <c r="E29" s="107" t="s">
        <v>44</v>
      </c>
      <c r="F29" s="107">
        <v>8</v>
      </c>
      <c r="G29" s="108" t="s">
        <v>65</v>
      </c>
      <c r="H29" s="107">
        <v>1</v>
      </c>
      <c r="I29" s="108" t="s">
        <v>37</v>
      </c>
      <c r="J29" s="107">
        <v>1</v>
      </c>
      <c r="K29" s="107">
        <v>1000</v>
      </c>
      <c r="L29" s="107">
        <v>0.3</v>
      </c>
      <c r="S29" s="107">
        <f t="shared" si="0"/>
        <v>29</v>
      </c>
      <c r="Z29" s="107">
        <v>0</v>
      </c>
      <c r="AA29" s="107">
        <v>0</v>
      </c>
      <c r="AB29" s="107">
        <f t="shared" si="1"/>
        <v>1</v>
      </c>
      <c r="AC29" s="107" t="str">
        <f t="shared" si="2"/>
        <v>Libera vendita</v>
      </c>
      <c r="AF29" s="107" t="str">
        <f t="shared" si="3"/>
        <v>Libera vendita</v>
      </c>
      <c r="AM29" s="107">
        <v>44</v>
      </c>
    </row>
    <row r="30" spans="3:39" ht="15">
      <c r="C30" s="72">
        <f t="shared" si="4"/>
        <v>30</v>
      </c>
      <c r="G30" s="72" t="s">
        <v>66</v>
      </c>
      <c r="H30" s="72">
        <v>2</v>
      </c>
      <c r="S30" s="72">
        <f t="shared" si="0"/>
        <v>30</v>
      </c>
      <c r="Z30" s="72">
        <v>0</v>
      </c>
      <c r="AA30" s="72">
        <v>0</v>
      </c>
      <c r="AB30" s="72">
        <f t="shared" si="1"/>
        <v>2</v>
      </c>
      <c r="AC30" s="72" t="str">
        <f t="shared" si="2"/>
        <v>Non Libera vend.</v>
      </c>
      <c r="AF30" s="72" t="str">
        <f t="shared" si="3"/>
        <v>Non Libera vend.</v>
      </c>
      <c r="AM30" s="107">
        <v>45</v>
      </c>
    </row>
    <row r="31" spans="1:39" s="71" customFormat="1" ht="15">
      <c r="A31" s="71">
        <v>19</v>
      </c>
      <c r="B31" s="111" t="s">
        <v>370</v>
      </c>
      <c r="C31" s="71">
        <f t="shared" si="4"/>
        <v>31</v>
      </c>
      <c r="D31" s="106" t="s">
        <v>371</v>
      </c>
      <c r="E31" s="71" t="s">
        <v>44</v>
      </c>
      <c r="F31" s="71">
        <v>8</v>
      </c>
      <c r="G31" s="106" t="s">
        <v>37</v>
      </c>
      <c r="H31" s="71">
        <v>1</v>
      </c>
      <c r="I31" s="106" t="s">
        <v>37</v>
      </c>
      <c r="J31" s="71">
        <v>1</v>
      </c>
      <c r="K31" s="71">
        <v>1000</v>
      </c>
      <c r="L31" s="71">
        <v>0.1</v>
      </c>
      <c r="O31" s="71" t="s">
        <v>68</v>
      </c>
      <c r="S31" s="71">
        <f t="shared" si="0"/>
        <v>31</v>
      </c>
      <c r="Z31" s="71">
        <v>0</v>
      </c>
      <c r="AA31" s="71">
        <v>0</v>
      </c>
      <c r="AB31" s="71">
        <f t="shared" si="1"/>
        <v>1</v>
      </c>
      <c r="AC31" s="71" t="str">
        <f t="shared" si="2"/>
        <v>Non Def.</v>
      </c>
      <c r="AF31" s="71" t="str">
        <f t="shared" si="3"/>
        <v>Non Def.</v>
      </c>
      <c r="AM31" s="107">
        <v>46</v>
      </c>
    </row>
    <row r="32" spans="1:39" s="71" customFormat="1" ht="15">
      <c r="A32" s="71">
        <v>20</v>
      </c>
      <c r="B32" s="111" t="s">
        <v>370</v>
      </c>
      <c r="C32" s="71">
        <f t="shared" si="4"/>
        <v>32</v>
      </c>
      <c r="D32" s="106" t="s">
        <v>371</v>
      </c>
      <c r="E32" s="71" t="s">
        <v>44</v>
      </c>
      <c r="F32" s="71">
        <v>8</v>
      </c>
      <c r="G32" s="106" t="s">
        <v>37</v>
      </c>
      <c r="H32" s="71">
        <v>1</v>
      </c>
      <c r="I32" s="106" t="s">
        <v>37</v>
      </c>
      <c r="J32" s="71">
        <v>1</v>
      </c>
      <c r="K32" s="71">
        <v>1000</v>
      </c>
      <c r="L32" s="71">
        <v>0.1</v>
      </c>
      <c r="O32" s="71" t="s">
        <v>68</v>
      </c>
      <c r="S32" s="71">
        <f t="shared" si="0"/>
        <v>32</v>
      </c>
      <c r="Z32" s="71">
        <v>0</v>
      </c>
      <c r="AA32" s="71">
        <v>0</v>
      </c>
      <c r="AB32" s="71">
        <f t="shared" si="1"/>
        <v>1</v>
      </c>
      <c r="AC32" s="71" t="str">
        <f t="shared" si="2"/>
        <v>Non Def.</v>
      </c>
      <c r="AF32" s="71" t="str">
        <f t="shared" si="3"/>
        <v>Non Def.</v>
      </c>
      <c r="AM32" s="107">
        <v>47</v>
      </c>
    </row>
    <row r="33" spans="1:39" s="71" customFormat="1" ht="15">
      <c r="A33" s="71">
        <v>21</v>
      </c>
      <c r="B33" s="111" t="s">
        <v>370</v>
      </c>
      <c r="C33" s="71">
        <f t="shared" si="4"/>
        <v>33</v>
      </c>
      <c r="D33" s="106" t="s">
        <v>371</v>
      </c>
      <c r="E33" s="71" t="s">
        <v>44</v>
      </c>
      <c r="F33" s="71">
        <v>8</v>
      </c>
      <c r="G33" s="106" t="s">
        <v>37</v>
      </c>
      <c r="H33" s="71">
        <v>1</v>
      </c>
      <c r="I33" s="106" t="s">
        <v>37</v>
      </c>
      <c r="J33" s="71">
        <v>1</v>
      </c>
      <c r="K33" s="71">
        <v>1000</v>
      </c>
      <c r="L33" s="71">
        <v>0.1</v>
      </c>
      <c r="O33" s="71" t="s">
        <v>68</v>
      </c>
      <c r="S33" s="71">
        <f t="shared" si="0"/>
        <v>33</v>
      </c>
      <c r="Z33" s="71">
        <v>0</v>
      </c>
      <c r="AA33" s="71">
        <v>0</v>
      </c>
      <c r="AB33" s="71">
        <f t="shared" si="1"/>
        <v>1</v>
      </c>
      <c r="AC33" s="71" t="str">
        <f t="shared" si="2"/>
        <v>Non Def.</v>
      </c>
      <c r="AF33" s="71" t="str">
        <f t="shared" si="3"/>
        <v>Non Def.</v>
      </c>
      <c r="AM33" s="107">
        <v>48</v>
      </c>
    </row>
    <row r="34" spans="1:39" s="71" customFormat="1" ht="15">
      <c r="A34" s="71">
        <v>22</v>
      </c>
      <c r="B34" s="111" t="s">
        <v>370</v>
      </c>
      <c r="C34" s="71">
        <f t="shared" si="4"/>
        <v>34</v>
      </c>
      <c r="D34" s="106" t="s">
        <v>371</v>
      </c>
      <c r="E34" s="71" t="s">
        <v>44</v>
      </c>
      <c r="F34" s="71">
        <v>8</v>
      </c>
      <c r="G34" s="106" t="s">
        <v>37</v>
      </c>
      <c r="H34" s="71">
        <v>1</v>
      </c>
      <c r="I34" s="106" t="s">
        <v>37</v>
      </c>
      <c r="J34" s="71">
        <v>1</v>
      </c>
      <c r="K34" s="71">
        <v>1000</v>
      </c>
      <c r="L34" s="71">
        <v>0.1</v>
      </c>
      <c r="O34" s="71" t="s">
        <v>72</v>
      </c>
      <c r="S34" s="71">
        <f t="shared" si="0"/>
        <v>34</v>
      </c>
      <c r="Z34" s="71">
        <v>0</v>
      </c>
      <c r="AA34" s="71">
        <v>0</v>
      </c>
      <c r="AB34" s="71">
        <f t="shared" si="1"/>
        <v>1</v>
      </c>
      <c r="AC34" s="71" t="str">
        <f t="shared" si="2"/>
        <v>Non Def.</v>
      </c>
      <c r="AF34" s="71" t="str">
        <f t="shared" si="3"/>
        <v>Non Def.</v>
      </c>
      <c r="AM34" s="107">
        <v>49</v>
      </c>
    </row>
    <row r="35" spans="1:39" s="71" customFormat="1" ht="15">
      <c r="A35" s="71">
        <v>23</v>
      </c>
      <c r="B35" s="111" t="s">
        <v>370</v>
      </c>
      <c r="C35" s="71">
        <f t="shared" si="4"/>
        <v>35</v>
      </c>
      <c r="D35" s="106" t="s">
        <v>371</v>
      </c>
      <c r="E35" s="71" t="s">
        <v>44</v>
      </c>
      <c r="F35" s="71">
        <v>8</v>
      </c>
      <c r="G35" s="106" t="s">
        <v>37</v>
      </c>
      <c r="H35" s="71">
        <v>1</v>
      </c>
      <c r="I35" s="106" t="s">
        <v>37</v>
      </c>
      <c r="J35" s="71">
        <v>1</v>
      </c>
      <c r="K35" s="71">
        <v>1000</v>
      </c>
      <c r="L35" s="71">
        <v>0.1</v>
      </c>
      <c r="O35" s="71" t="s">
        <v>68</v>
      </c>
      <c r="S35" s="71">
        <f t="shared" si="0"/>
        <v>35</v>
      </c>
      <c r="Z35" s="71">
        <v>0</v>
      </c>
      <c r="AA35" s="71">
        <v>0</v>
      </c>
      <c r="AB35" s="71">
        <f t="shared" si="1"/>
        <v>1</v>
      </c>
      <c r="AC35" s="71" t="str">
        <f t="shared" si="2"/>
        <v>Non Def.</v>
      </c>
      <c r="AF35" s="71" t="str">
        <f t="shared" si="3"/>
        <v>Non Def.</v>
      </c>
      <c r="AM35" s="107">
        <v>50</v>
      </c>
    </row>
    <row r="36" spans="1:39" ht="30">
      <c r="A36" s="72">
        <v>24</v>
      </c>
      <c r="B36" s="72" t="s">
        <v>73</v>
      </c>
      <c r="C36" s="72">
        <f t="shared" si="4"/>
        <v>36</v>
      </c>
      <c r="D36" s="72" t="s">
        <v>47</v>
      </c>
      <c r="E36" s="72" t="s">
        <v>44</v>
      </c>
      <c r="F36" s="72">
        <v>8</v>
      </c>
      <c r="G36" s="109" t="s">
        <v>313</v>
      </c>
      <c r="H36" s="72" t="s">
        <v>212</v>
      </c>
      <c r="I36" s="110" t="s">
        <v>37</v>
      </c>
      <c r="J36" s="72">
        <v>1</v>
      </c>
      <c r="K36" s="72">
        <v>5000</v>
      </c>
      <c r="L36" s="72">
        <v>0.1</v>
      </c>
      <c r="M36" s="72">
        <v>2</v>
      </c>
      <c r="N36" s="72">
        <v>10</v>
      </c>
      <c r="O36" s="72" t="s">
        <v>112</v>
      </c>
      <c r="S36" s="72">
        <f t="shared" si="0"/>
        <v>36</v>
      </c>
      <c r="Z36" s="72">
        <v>0</v>
      </c>
      <c r="AA36" s="72">
        <v>0</v>
      </c>
      <c r="AB36" s="72" t="str">
        <f t="shared" si="1"/>
        <v>F</v>
      </c>
      <c r="AC36" s="72" t="str">
        <f t="shared" si="2"/>
        <v>Potenzialità [t]
INSERIRE VALORE</v>
      </c>
      <c r="AF36" s="72" t="str">
        <f t="shared" si="3"/>
        <v>Potenzialità [t]
INSERIRE VALORE</v>
      </c>
      <c r="AM36" s="107">
        <v>51</v>
      </c>
    </row>
    <row r="37" spans="1:39" ht="30">
      <c r="A37" s="72">
        <v>25</v>
      </c>
      <c r="B37" s="72" t="s">
        <v>75</v>
      </c>
      <c r="C37" s="72">
        <f t="shared" si="4"/>
        <v>37</v>
      </c>
      <c r="D37" s="72" t="s">
        <v>47</v>
      </c>
      <c r="E37" s="72" t="s">
        <v>44</v>
      </c>
      <c r="F37" s="72">
        <v>8</v>
      </c>
      <c r="G37" s="73" t="s">
        <v>314</v>
      </c>
      <c r="H37" s="72" t="s">
        <v>212</v>
      </c>
      <c r="I37" s="110" t="s">
        <v>37</v>
      </c>
      <c r="J37" s="72">
        <v>1</v>
      </c>
      <c r="K37" s="72">
        <v>5000</v>
      </c>
      <c r="L37" s="72">
        <v>0.1</v>
      </c>
      <c r="M37" s="72">
        <v>2</v>
      </c>
      <c r="N37" s="72">
        <v>500</v>
      </c>
      <c r="O37" s="72" t="s">
        <v>136</v>
      </c>
      <c r="S37" s="72">
        <f t="shared" si="0"/>
        <v>37</v>
      </c>
      <c r="Z37" s="72">
        <v>0</v>
      </c>
      <c r="AA37" s="72">
        <v>0</v>
      </c>
      <c r="AB37" s="72" t="str">
        <f t="shared" si="1"/>
        <v>F</v>
      </c>
      <c r="AC37" s="72" t="str">
        <f t="shared" si="2"/>
        <v>massa [kg]
INSERIRE VALORE</v>
      </c>
      <c r="AF37" s="72" t="str">
        <f t="shared" si="3"/>
        <v>massa [kg]
INSERIRE VALORE</v>
      </c>
      <c r="AM37" s="107">
        <v>52</v>
      </c>
    </row>
    <row r="38" spans="1:39" s="71" customFormat="1" ht="15">
      <c r="A38" s="71">
        <v>26</v>
      </c>
      <c r="B38" s="111" t="s">
        <v>370</v>
      </c>
      <c r="C38" s="71">
        <f t="shared" si="4"/>
        <v>38</v>
      </c>
      <c r="D38" s="106" t="s">
        <v>371</v>
      </c>
      <c r="E38" s="71" t="s">
        <v>44</v>
      </c>
      <c r="F38" s="71">
        <v>8</v>
      </c>
      <c r="G38" s="106" t="s">
        <v>37</v>
      </c>
      <c r="H38" s="71">
        <v>1</v>
      </c>
      <c r="I38" s="106" t="s">
        <v>37</v>
      </c>
      <c r="J38" s="71">
        <v>1</v>
      </c>
      <c r="K38" s="71">
        <v>1000</v>
      </c>
      <c r="L38" s="71">
        <v>0.1</v>
      </c>
      <c r="O38" s="71" t="s">
        <v>68</v>
      </c>
      <c r="S38" s="71">
        <f t="shared" si="0"/>
        <v>38</v>
      </c>
      <c r="Z38" s="71">
        <v>0</v>
      </c>
      <c r="AA38" s="71">
        <v>0</v>
      </c>
      <c r="AB38" s="71">
        <f t="shared" si="1"/>
        <v>1</v>
      </c>
      <c r="AC38" s="71" t="str">
        <f t="shared" si="2"/>
        <v>Non Def.</v>
      </c>
      <c r="AF38" s="71" t="str">
        <f t="shared" si="3"/>
        <v>Non Def.</v>
      </c>
      <c r="AM38" s="107">
        <v>53</v>
      </c>
    </row>
    <row r="39" spans="1:39" ht="15">
      <c r="A39" s="72">
        <v>27</v>
      </c>
      <c r="B39" s="72" t="s">
        <v>76</v>
      </c>
      <c r="C39" s="72">
        <f t="shared" si="4"/>
        <v>39</v>
      </c>
      <c r="D39" s="72" t="s">
        <v>47</v>
      </c>
      <c r="E39" s="72" t="s">
        <v>44</v>
      </c>
      <c r="F39" s="72">
        <v>6</v>
      </c>
      <c r="G39" s="72" t="s">
        <v>238</v>
      </c>
      <c r="H39" s="72" t="s">
        <v>212</v>
      </c>
      <c r="I39" s="72" t="s">
        <v>81</v>
      </c>
      <c r="J39" s="72">
        <v>0.6</v>
      </c>
      <c r="K39" s="72">
        <v>1000</v>
      </c>
      <c r="L39" s="72">
        <v>0.1</v>
      </c>
      <c r="M39" s="72">
        <v>2</v>
      </c>
      <c r="N39" s="72">
        <v>20</v>
      </c>
      <c r="O39" s="72" t="s">
        <v>82</v>
      </c>
      <c r="S39" s="72">
        <f t="shared" si="0"/>
        <v>39</v>
      </c>
      <c r="Z39" s="72">
        <v>1</v>
      </c>
      <c r="AA39" s="72">
        <v>0</v>
      </c>
      <c r="AB39" s="72" t="str">
        <f t="shared" si="1"/>
        <v>F</v>
      </c>
      <c r="AC39" s="72" t="str">
        <f t="shared" si="2"/>
        <v>massa [t]
INSERIRE VALORE
INSERIRE VALORE</v>
      </c>
      <c r="AF39" s="72" t="str">
        <f t="shared" si="3"/>
        <v>massa [t]
INSERIRE VALORE
INSERIRE VALORE</v>
      </c>
      <c r="AM39" s="107">
        <v>54</v>
      </c>
    </row>
    <row r="40" spans="3:39" ht="15">
      <c r="C40" s="72">
        <f t="shared" si="4"/>
        <v>40</v>
      </c>
      <c r="G40" s="72" t="s">
        <v>239</v>
      </c>
      <c r="H40" s="72">
        <v>0</v>
      </c>
      <c r="I40" s="72" t="s">
        <v>80</v>
      </c>
      <c r="J40" s="72">
        <v>1</v>
      </c>
      <c r="K40" s="72">
        <v>1000</v>
      </c>
      <c r="L40" s="72">
        <v>0.1</v>
      </c>
      <c r="S40" s="72">
        <f t="shared" si="0"/>
        <v>40</v>
      </c>
      <c r="Z40" s="72">
        <v>1</v>
      </c>
      <c r="AA40" s="72">
        <v>0</v>
      </c>
      <c r="AB40" s="72">
        <f t="shared" si="1"/>
        <v>0</v>
      </c>
      <c r="AC40" s="72" t="str">
        <f t="shared" si="2"/>
        <v>
INSERIRE VALORE</v>
      </c>
      <c r="AF40" s="72">
        <f t="shared" si="3"/>
      </c>
      <c r="AM40" s="107">
        <v>55</v>
      </c>
    </row>
    <row r="41" spans="1:39" ht="15">
      <c r="A41" s="72">
        <v>28</v>
      </c>
      <c r="B41" s="72" t="s">
        <v>84</v>
      </c>
      <c r="C41" s="72">
        <f t="shared" si="4"/>
        <v>41</v>
      </c>
      <c r="D41" s="72" t="s">
        <v>47</v>
      </c>
      <c r="E41" s="72" t="s">
        <v>44</v>
      </c>
      <c r="F41" s="72">
        <v>6</v>
      </c>
      <c r="G41" s="72" t="s">
        <v>238</v>
      </c>
      <c r="H41" s="72" t="s">
        <v>212</v>
      </c>
      <c r="I41" s="110" t="s">
        <v>37</v>
      </c>
      <c r="J41" s="72">
        <v>1</v>
      </c>
      <c r="K41" s="72">
        <v>1000</v>
      </c>
      <c r="L41" s="72">
        <v>0.1</v>
      </c>
      <c r="M41" s="72">
        <v>2</v>
      </c>
      <c r="N41" s="72">
        <v>50</v>
      </c>
      <c r="O41" s="72" t="s">
        <v>85</v>
      </c>
      <c r="S41" s="72">
        <f t="shared" si="0"/>
        <v>41</v>
      </c>
      <c r="Z41" s="72">
        <v>1</v>
      </c>
      <c r="AA41" s="72">
        <v>0</v>
      </c>
      <c r="AB41" s="72" t="str">
        <f t="shared" si="1"/>
        <v>F</v>
      </c>
      <c r="AC41" s="72" t="str">
        <f t="shared" si="2"/>
        <v>massa [t]
INSERIRE VALORE
INSERIRE VALORE</v>
      </c>
      <c r="AF41" s="72" t="str">
        <f t="shared" si="3"/>
        <v>massa [t]
INSERIRE VALORE
INSERIRE VALORE</v>
      </c>
      <c r="AM41" s="107">
        <v>56</v>
      </c>
    </row>
    <row r="42" spans="3:39" ht="15">
      <c r="C42" s="72">
        <f t="shared" si="4"/>
        <v>42</v>
      </c>
      <c r="G42" s="72" t="s">
        <v>239</v>
      </c>
      <c r="H42" s="72">
        <v>0</v>
      </c>
      <c r="S42" s="72">
        <f t="shared" si="0"/>
        <v>42</v>
      </c>
      <c r="Z42" s="72">
        <v>1</v>
      </c>
      <c r="AA42" s="72">
        <v>0</v>
      </c>
      <c r="AB42" s="72">
        <f t="shared" si="1"/>
        <v>0</v>
      </c>
      <c r="AC42" s="72" t="str">
        <f t="shared" si="2"/>
        <v>
INSERIRE VALORE</v>
      </c>
      <c r="AF42" s="72">
        <f t="shared" si="3"/>
      </c>
      <c r="AM42" s="107">
        <v>57</v>
      </c>
    </row>
    <row r="43" spans="1:39" s="71" customFormat="1" ht="15">
      <c r="A43" s="71">
        <v>29</v>
      </c>
      <c r="B43" s="111" t="s">
        <v>370</v>
      </c>
      <c r="C43" s="71">
        <f t="shared" si="4"/>
        <v>43</v>
      </c>
      <c r="D43" s="106" t="s">
        <v>371</v>
      </c>
      <c r="E43" s="71" t="s">
        <v>44</v>
      </c>
      <c r="F43" s="71">
        <v>6</v>
      </c>
      <c r="G43" s="106" t="s">
        <v>37</v>
      </c>
      <c r="H43" s="71">
        <v>1</v>
      </c>
      <c r="I43" s="106" t="s">
        <v>37</v>
      </c>
      <c r="J43" s="71">
        <v>1</v>
      </c>
      <c r="K43" s="71">
        <v>1000</v>
      </c>
      <c r="L43" s="71">
        <v>0.1</v>
      </c>
      <c r="S43" s="71">
        <f t="shared" si="0"/>
        <v>43</v>
      </c>
      <c r="Z43" s="71">
        <v>0</v>
      </c>
      <c r="AA43" s="71">
        <v>0</v>
      </c>
      <c r="AB43" s="71">
        <f t="shared" si="1"/>
        <v>1</v>
      </c>
      <c r="AC43" s="71" t="str">
        <f t="shared" si="2"/>
        <v>Non Def.</v>
      </c>
      <c r="AF43" s="71" t="str">
        <f t="shared" si="3"/>
        <v>Non Def.</v>
      </c>
      <c r="AM43" s="107">
        <v>58</v>
      </c>
    </row>
    <row r="44" spans="1:39" s="71" customFormat="1" ht="15">
      <c r="A44" s="71">
        <v>30</v>
      </c>
      <c r="B44" s="111" t="s">
        <v>370</v>
      </c>
      <c r="C44" s="71">
        <f t="shared" si="4"/>
        <v>44</v>
      </c>
      <c r="D44" s="106" t="s">
        <v>371</v>
      </c>
      <c r="E44" s="71" t="s">
        <v>44</v>
      </c>
      <c r="F44" s="71">
        <v>6</v>
      </c>
      <c r="G44" s="106" t="s">
        <v>37</v>
      </c>
      <c r="H44" s="71">
        <v>1</v>
      </c>
      <c r="I44" s="106" t="s">
        <v>37</v>
      </c>
      <c r="J44" s="71">
        <v>1</v>
      </c>
      <c r="K44" s="71">
        <v>1000</v>
      </c>
      <c r="L44" s="71">
        <v>0.1</v>
      </c>
      <c r="S44" s="71">
        <f t="shared" si="0"/>
        <v>44</v>
      </c>
      <c r="Z44" s="71">
        <v>0</v>
      </c>
      <c r="AA44" s="71">
        <v>0</v>
      </c>
      <c r="AB44" s="71">
        <f t="shared" si="1"/>
        <v>1</v>
      </c>
      <c r="AC44" s="71" t="str">
        <f t="shared" si="2"/>
        <v>Non Def.</v>
      </c>
      <c r="AF44" s="71" t="str">
        <f t="shared" si="3"/>
        <v>Non Def.</v>
      </c>
      <c r="AM44" s="107">
        <v>63</v>
      </c>
    </row>
    <row r="45" spans="1:39" ht="15">
      <c r="A45" s="72">
        <v>31</v>
      </c>
      <c r="B45" s="72" t="s">
        <v>88</v>
      </c>
      <c r="C45" s="72">
        <f t="shared" si="4"/>
        <v>45</v>
      </c>
      <c r="D45" s="72" t="s">
        <v>47</v>
      </c>
      <c r="E45" s="72" t="s">
        <v>44</v>
      </c>
      <c r="F45" s="72">
        <v>6</v>
      </c>
      <c r="G45" s="72" t="s">
        <v>238</v>
      </c>
      <c r="H45" s="72" t="s">
        <v>212</v>
      </c>
      <c r="I45" s="110" t="s">
        <v>37</v>
      </c>
      <c r="J45" s="72">
        <v>1</v>
      </c>
      <c r="K45" s="72">
        <v>1000</v>
      </c>
      <c r="L45" s="72">
        <v>0.1</v>
      </c>
      <c r="M45" s="72">
        <v>2</v>
      </c>
      <c r="N45" s="72">
        <v>50</v>
      </c>
      <c r="O45" s="72" t="s">
        <v>85</v>
      </c>
      <c r="S45" s="72">
        <f t="shared" si="0"/>
        <v>45</v>
      </c>
      <c r="Z45" s="72">
        <v>1</v>
      </c>
      <c r="AA45" s="72">
        <v>0</v>
      </c>
      <c r="AB45" s="72" t="str">
        <f t="shared" si="1"/>
        <v>F</v>
      </c>
      <c r="AC45" s="72" t="str">
        <f t="shared" si="2"/>
        <v>massa [t]
INSERIRE VALORE
INSERIRE VALORE</v>
      </c>
      <c r="AF45" s="72" t="str">
        <f t="shared" si="3"/>
        <v>massa [t]
INSERIRE VALORE
INSERIRE VALORE</v>
      </c>
      <c r="AM45" s="107">
        <v>64</v>
      </c>
    </row>
    <row r="46" spans="1:39" ht="15">
      <c r="A46" s="72">
        <v>32</v>
      </c>
      <c r="B46" s="72" t="s">
        <v>89</v>
      </c>
      <c r="C46" s="72">
        <f t="shared" si="4"/>
        <v>46</v>
      </c>
      <c r="D46" s="72" t="s">
        <v>47</v>
      </c>
      <c r="E46" s="72" t="s">
        <v>44</v>
      </c>
      <c r="F46" s="72">
        <v>6</v>
      </c>
      <c r="G46" s="72" t="s">
        <v>238</v>
      </c>
      <c r="H46" s="72" t="s">
        <v>212</v>
      </c>
      <c r="I46" s="110" t="s">
        <v>37</v>
      </c>
      <c r="J46" s="72">
        <v>1</v>
      </c>
      <c r="K46" s="72">
        <v>1000</v>
      </c>
      <c r="L46" s="72">
        <v>0.1</v>
      </c>
      <c r="M46" s="72">
        <v>2</v>
      </c>
      <c r="N46" s="72">
        <v>50</v>
      </c>
      <c r="O46" s="72" t="s">
        <v>85</v>
      </c>
      <c r="S46" s="72">
        <f t="shared" si="0"/>
        <v>46</v>
      </c>
      <c r="Z46" s="72">
        <v>1</v>
      </c>
      <c r="AA46" s="72">
        <v>0</v>
      </c>
      <c r="AB46" s="72" t="str">
        <f t="shared" si="1"/>
        <v>F</v>
      </c>
      <c r="AC46" s="72" t="str">
        <f t="shared" si="2"/>
        <v>massa [t]
INSERIRE VALORE
INSERIRE VALORE</v>
      </c>
      <c r="AF46" s="72" t="str">
        <f t="shared" si="3"/>
        <v>massa [t]
INSERIRE VALORE
INSERIRE VALORE</v>
      </c>
      <c r="AM46" s="107">
        <v>65</v>
      </c>
    </row>
    <row r="47" spans="1:39" ht="15">
      <c r="A47" s="72">
        <v>33</v>
      </c>
      <c r="B47" s="72" t="s">
        <v>90</v>
      </c>
      <c r="C47" s="72">
        <f t="shared" si="4"/>
        <v>47</v>
      </c>
      <c r="D47" s="72" t="s">
        <v>47</v>
      </c>
      <c r="E47" s="72" t="s">
        <v>44</v>
      </c>
      <c r="F47" s="72">
        <v>6</v>
      </c>
      <c r="G47" s="72" t="s">
        <v>238</v>
      </c>
      <c r="H47" s="72" t="s">
        <v>212</v>
      </c>
      <c r="I47" s="72" t="s">
        <v>91</v>
      </c>
      <c r="J47" s="72">
        <v>1</v>
      </c>
      <c r="K47" s="72">
        <v>1000</v>
      </c>
      <c r="L47" s="72">
        <v>0.1</v>
      </c>
      <c r="M47" s="72">
        <v>2</v>
      </c>
      <c r="N47" s="72">
        <v>50</v>
      </c>
      <c r="O47" s="72" t="s">
        <v>85</v>
      </c>
      <c r="S47" s="72">
        <f t="shared" si="0"/>
        <v>47</v>
      </c>
      <c r="Z47" s="72">
        <v>1</v>
      </c>
      <c r="AA47" s="72">
        <v>0</v>
      </c>
      <c r="AB47" s="72" t="str">
        <f t="shared" si="1"/>
        <v>F</v>
      </c>
      <c r="AC47" s="72" t="str">
        <f t="shared" si="2"/>
        <v>massa [t]
INSERIRE VALORE
INSERIRE VALORE</v>
      </c>
      <c r="AF47" s="72" t="str">
        <f t="shared" si="3"/>
        <v>massa [t]
INSERIRE VALORE
INSERIRE VALORE</v>
      </c>
      <c r="AM47" s="107">
        <v>66</v>
      </c>
    </row>
    <row r="48" spans="3:39" ht="15">
      <c r="C48" s="72">
        <f t="shared" si="4"/>
        <v>48</v>
      </c>
      <c r="G48" s="72" t="s">
        <v>239</v>
      </c>
      <c r="H48" s="72">
        <v>0</v>
      </c>
      <c r="I48" s="72" t="s">
        <v>92</v>
      </c>
      <c r="J48" s="72">
        <v>1.5</v>
      </c>
      <c r="K48" s="72">
        <v>1000</v>
      </c>
      <c r="L48" s="72">
        <v>0.1</v>
      </c>
      <c r="S48" s="72">
        <f t="shared" si="0"/>
        <v>48</v>
      </c>
      <c r="Z48" s="72">
        <v>1</v>
      </c>
      <c r="AA48" s="72">
        <v>0</v>
      </c>
      <c r="AB48" s="72">
        <f t="shared" si="1"/>
        <v>0</v>
      </c>
      <c r="AC48" s="72" t="str">
        <f t="shared" si="2"/>
        <v>
INSERIRE VALORE</v>
      </c>
      <c r="AF48" s="72">
        <f t="shared" si="3"/>
      </c>
      <c r="AM48" s="107">
        <v>67</v>
      </c>
    </row>
    <row r="49" spans="1:39" ht="15">
      <c r="A49" s="72">
        <v>34</v>
      </c>
      <c r="B49" s="72" t="s">
        <v>93</v>
      </c>
      <c r="C49" s="72">
        <f t="shared" si="4"/>
        <v>49</v>
      </c>
      <c r="D49" s="72" t="s">
        <v>47</v>
      </c>
      <c r="E49" s="72" t="s">
        <v>44</v>
      </c>
      <c r="F49" s="72">
        <v>4</v>
      </c>
      <c r="G49" s="72" t="s">
        <v>238</v>
      </c>
      <c r="H49" s="72" t="s">
        <v>212</v>
      </c>
      <c r="I49" s="110" t="s">
        <v>220</v>
      </c>
      <c r="J49" s="72">
        <v>1</v>
      </c>
      <c r="K49" s="72">
        <v>2000</v>
      </c>
      <c r="L49" s="72">
        <v>0.1</v>
      </c>
      <c r="M49" s="72">
        <v>2</v>
      </c>
      <c r="N49" s="72">
        <v>50</v>
      </c>
      <c r="O49" s="72" t="s">
        <v>85</v>
      </c>
      <c r="S49" s="72">
        <f t="shared" si="0"/>
        <v>49</v>
      </c>
      <c r="Z49" s="72">
        <v>1</v>
      </c>
      <c r="AA49" s="72">
        <v>0</v>
      </c>
      <c r="AB49" s="72" t="str">
        <f t="shared" si="1"/>
        <v>F</v>
      </c>
      <c r="AC49" s="72" t="str">
        <f t="shared" si="2"/>
        <v>massa [t]
INSERIRE VALORE
INSERIRE VALORE</v>
      </c>
      <c r="AF49" s="72" t="str">
        <f t="shared" si="3"/>
        <v>massa [t]
INSERIRE VALORE
INSERIRE VALORE</v>
      </c>
      <c r="AM49" s="107">
        <v>68</v>
      </c>
    </row>
    <row r="50" spans="7:39" ht="15">
      <c r="G50" s="72" t="s">
        <v>239</v>
      </c>
      <c r="H50" s="72">
        <v>0</v>
      </c>
      <c r="I50" s="110" t="s">
        <v>221</v>
      </c>
      <c r="J50" s="72">
        <v>2</v>
      </c>
      <c r="Z50" s="72">
        <v>1</v>
      </c>
      <c r="AA50" s="72">
        <v>0</v>
      </c>
      <c r="AB50" s="72">
        <f t="shared" si="1"/>
        <v>0</v>
      </c>
      <c r="AC50" s="72" t="str">
        <f t="shared" si="2"/>
        <v>
INSERIRE VALORE</v>
      </c>
      <c r="AF50" s="72">
        <f t="shared" si="3"/>
      </c>
      <c r="AM50" s="107">
        <v>69</v>
      </c>
    </row>
    <row r="51" spans="1:39" ht="15">
      <c r="A51" s="72">
        <v>35</v>
      </c>
      <c r="B51" s="72" t="s">
        <v>94</v>
      </c>
      <c r="C51" s="72">
        <f t="shared" si="4"/>
        <v>51</v>
      </c>
      <c r="D51" s="72" t="s">
        <v>47</v>
      </c>
      <c r="E51" s="72" t="s">
        <v>44</v>
      </c>
      <c r="F51" s="72">
        <v>6</v>
      </c>
      <c r="G51" s="72" t="s">
        <v>238</v>
      </c>
      <c r="H51" s="72" t="s">
        <v>212</v>
      </c>
      <c r="I51" s="110" t="s">
        <v>55</v>
      </c>
      <c r="J51" s="72">
        <v>1</v>
      </c>
      <c r="K51" s="72">
        <v>2000</v>
      </c>
      <c r="L51" s="72">
        <v>0.1</v>
      </c>
      <c r="M51" s="72">
        <v>2</v>
      </c>
      <c r="N51" s="72">
        <v>5</v>
      </c>
      <c r="O51" s="72" t="s">
        <v>95</v>
      </c>
      <c r="S51" s="72">
        <f t="shared" si="0"/>
        <v>51</v>
      </c>
      <c r="Z51" s="72">
        <v>1</v>
      </c>
      <c r="AA51" s="72">
        <v>0</v>
      </c>
      <c r="AB51" s="72" t="str">
        <f t="shared" si="1"/>
        <v>F</v>
      </c>
      <c r="AC51" s="72" t="str">
        <f t="shared" si="2"/>
        <v>massa [t]
INSERIRE VALORE
INSERIRE VALORE</v>
      </c>
      <c r="AF51" s="72" t="str">
        <f t="shared" si="3"/>
        <v>massa [t]
INSERIRE VALORE
INSERIRE VALORE</v>
      </c>
      <c r="AM51" s="107">
        <v>70</v>
      </c>
    </row>
    <row r="52" spans="3:39" ht="15">
      <c r="C52" s="72">
        <f t="shared" si="4"/>
        <v>52</v>
      </c>
      <c r="G52" s="72" t="s">
        <v>239</v>
      </c>
      <c r="H52" s="72">
        <v>0</v>
      </c>
      <c r="I52" s="72" t="s">
        <v>96</v>
      </c>
      <c r="J52" s="72">
        <v>1.3</v>
      </c>
      <c r="K52" s="72">
        <v>2000</v>
      </c>
      <c r="L52" s="72">
        <v>0.1</v>
      </c>
      <c r="S52" s="72">
        <f t="shared" si="0"/>
        <v>52</v>
      </c>
      <c r="Z52" s="72">
        <v>1</v>
      </c>
      <c r="AA52" s="72">
        <v>0</v>
      </c>
      <c r="AB52" s="72">
        <f t="shared" si="1"/>
        <v>0</v>
      </c>
      <c r="AC52" s="72" t="str">
        <f t="shared" si="2"/>
        <v>
INSERIRE VALORE</v>
      </c>
      <c r="AF52" s="72">
        <f t="shared" si="3"/>
      </c>
      <c r="AM52" s="107">
        <v>71</v>
      </c>
    </row>
    <row r="53" spans="1:39" ht="15">
      <c r="A53" s="72">
        <v>36</v>
      </c>
      <c r="B53" s="72" t="s">
        <v>97</v>
      </c>
      <c r="C53" s="72">
        <f aca="true" t="shared" si="5" ref="C53:C115">+ROW(A53)</f>
        <v>53</v>
      </c>
      <c r="D53" s="72" t="s">
        <v>47</v>
      </c>
      <c r="E53" s="72" t="s">
        <v>44</v>
      </c>
      <c r="F53" s="72">
        <v>4</v>
      </c>
      <c r="G53" s="72" t="s">
        <v>238</v>
      </c>
      <c r="H53" s="72" t="s">
        <v>212</v>
      </c>
      <c r="I53" s="110" t="s">
        <v>37</v>
      </c>
      <c r="J53" s="72">
        <v>1</v>
      </c>
      <c r="K53" s="72">
        <v>1000</v>
      </c>
      <c r="L53" s="72">
        <v>0.1</v>
      </c>
      <c r="M53" s="72">
        <v>2</v>
      </c>
      <c r="N53" s="72">
        <v>50</v>
      </c>
      <c r="O53" s="72" t="s">
        <v>85</v>
      </c>
      <c r="S53" s="72">
        <f t="shared" si="0"/>
        <v>53</v>
      </c>
      <c r="Z53" s="72">
        <v>1</v>
      </c>
      <c r="AA53" s="72">
        <v>0</v>
      </c>
      <c r="AB53" s="72" t="str">
        <f t="shared" si="1"/>
        <v>F</v>
      </c>
      <c r="AC53" s="72" t="str">
        <f t="shared" si="2"/>
        <v>massa [t]
INSERIRE VALORE
INSERIRE VALORE</v>
      </c>
      <c r="AF53" s="72" t="str">
        <f t="shared" si="3"/>
        <v>massa [t]
INSERIRE VALORE
INSERIRE VALORE</v>
      </c>
      <c r="AM53" s="107">
        <v>72</v>
      </c>
    </row>
    <row r="54" spans="1:39" ht="15">
      <c r="A54" s="72">
        <v>37</v>
      </c>
      <c r="B54" s="72" t="s">
        <v>98</v>
      </c>
      <c r="C54" s="72">
        <f t="shared" si="5"/>
        <v>54</v>
      </c>
      <c r="D54" s="72" t="s">
        <v>47</v>
      </c>
      <c r="E54" s="72" t="s">
        <v>44</v>
      </c>
      <c r="F54" s="72">
        <v>7</v>
      </c>
      <c r="G54" s="72" t="s">
        <v>238</v>
      </c>
      <c r="H54" s="72" t="s">
        <v>212</v>
      </c>
      <c r="I54" s="110" t="s">
        <v>55</v>
      </c>
      <c r="J54" s="72">
        <v>1</v>
      </c>
      <c r="K54" s="72">
        <v>1000</v>
      </c>
      <c r="L54" s="72">
        <v>0.1</v>
      </c>
      <c r="M54" s="72">
        <v>2</v>
      </c>
      <c r="N54" s="72">
        <v>5</v>
      </c>
      <c r="O54" s="72" t="s">
        <v>95</v>
      </c>
      <c r="S54" s="72">
        <f t="shared" si="0"/>
        <v>54</v>
      </c>
      <c r="Z54" s="72">
        <v>1</v>
      </c>
      <c r="AA54" s="72">
        <v>0</v>
      </c>
      <c r="AB54" s="72" t="str">
        <f t="shared" si="1"/>
        <v>F</v>
      </c>
      <c r="AC54" s="72" t="str">
        <f t="shared" si="2"/>
        <v>massa [t]
INSERIRE VALORE
INSERIRE VALORE</v>
      </c>
      <c r="AF54" s="72" t="str">
        <f t="shared" si="3"/>
        <v>massa [t]
INSERIRE VALORE
INSERIRE VALORE</v>
      </c>
      <c r="AM54" s="107">
        <v>73</v>
      </c>
    </row>
    <row r="55" spans="3:39" ht="15">
      <c r="C55" s="72">
        <f t="shared" si="5"/>
        <v>55</v>
      </c>
      <c r="G55" s="72" t="s">
        <v>239</v>
      </c>
      <c r="H55" s="72">
        <v>0</v>
      </c>
      <c r="I55" s="72" t="s">
        <v>99</v>
      </c>
      <c r="J55" s="72">
        <v>1.5</v>
      </c>
      <c r="S55" s="72">
        <f t="shared" si="0"/>
        <v>55</v>
      </c>
      <c r="Z55" s="72">
        <v>1</v>
      </c>
      <c r="AA55" s="72">
        <v>0</v>
      </c>
      <c r="AB55" s="72">
        <f t="shared" si="1"/>
        <v>0</v>
      </c>
      <c r="AC55" s="72" t="str">
        <f t="shared" si="2"/>
        <v>
INSERIRE VALORE</v>
      </c>
      <c r="AF55" s="72">
        <f t="shared" si="3"/>
      </c>
      <c r="AM55" s="107">
        <v>74</v>
      </c>
    </row>
    <row r="56" spans="1:39" ht="15">
      <c r="A56" s="72">
        <v>38</v>
      </c>
      <c r="B56" s="72" t="s">
        <v>100</v>
      </c>
      <c r="C56" s="72">
        <f t="shared" si="5"/>
        <v>56</v>
      </c>
      <c r="D56" s="72" t="s">
        <v>47</v>
      </c>
      <c r="E56" s="72" t="s">
        <v>44</v>
      </c>
      <c r="F56" s="72">
        <v>6</v>
      </c>
      <c r="G56" s="72" t="s">
        <v>238</v>
      </c>
      <c r="H56" s="72" t="s">
        <v>212</v>
      </c>
      <c r="I56" s="110" t="s">
        <v>55</v>
      </c>
      <c r="J56" s="72">
        <v>1</v>
      </c>
      <c r="K56" s="72">
        <v>1000</v>
      </c>
      <c r="L56" s="72">
        <v>0.1</v>
      </c>
      <c r="M56" s="72">
        <v>2</v>
      </c>
      <c r="N56" s="72">
        <v>5</v>
      </c>
      <c r="O56" s="72" t="s">
        <v>95</v>
      </c>
      <c r="S56" s="72">
        <f t="shared" si="0"/>
        <v>56</v>
      </c>
      <c r="Z56" s="72">
        <v>1</v>
      </c>
      <c r="AA56" s="72">
        <v>0</v>
      </c>
      <c r="AB56" s="72" t="str">
        <f t="shared" si="1"/>
        <v>F</v>
      </c>
      <c r="AC56" s="72" t="str">
        <f t="shared" si="2"/>
        <v>massa [t]
INSERIRE VALORE
INSERIRE VALORE</v>
      </c>
      <c r="AF56" s="72" t="str">
        <f t="shared" si="3"/>
        <v>massa [t]
INSERIRE VALORE
INSERIRE VALORE</v>
      </c>
      <c r="AM56" s="107">
        <v>75</v>
      </c>
    </row>
    <row r="57" spans="3:39" ht="15">
      <c r="C57" s="72">
        <f t="shared" si="5"/>
        <v>57</v>
      </c>
      <c r="G57" s="72" t="s">
        <v>239</v>
      </c>
      <c r="H57" s="72">
        <v>0</v>
      </c>
      <c r="I57" s="72" t="s">
        <v>101</v>
      </c>
      <c r="J57" s="72">
        <v>1.5</v>
      </c>
      <c r="S57" s="72">
        <f t="shared" si="0"/>
        <v>57</v>
      </c>
      <c r="Z57" s="72">
        <v>1</v>
      </c>
      <c r="AA57" s="72">
        <v>0</v>
      </c>
      <c r="AB57" s="72">
        <f t="shared" si="1"/>
        <v>0</v>
      </c>
      <c r="AC57" s="72" t="str">
        <f t="shared" si="2"/>
        <v>
INSERIRE VALORE</v>
      </c>
      <c r="AF57" s="72">
        <f t="shared" si="3"/>
      </c>
      <c r="AM57" s="107">
        <v>76</v>
      </c>
    </row>
    <row r="58" spans="1:39" ht="15">
      <c r="A58" s="72">
        <v>39</v>
      </c>
      <c r="B58" s="72" t="s">
        <v>102</v>
      </c>
      <c r="C58" s="72">
        <f t="shared" si="5"/>
        <v>58</v>
      </c>
      <c r="D58" s="72" t="s">
        <v>47</v>
      </c>
      <c r="E58" s="72" t="s">
        <v>44</v>
      </c>
      <c r="F58" s="72">
        <v>8</v>
      </c>
      <c r="G58" s="110" t="s">
        <v>37</v>
      </c>
      <c r="H58" s="72">
        <v>1</v>
      </c>
      <c r="I58" s="110" t="s">
        <v>37</v>
      </c>
      <c r="J58" s="72">
        <v>1</v>
      </c>
      <c r="K58" s="72">
        <v>1000</v>
      </c>
      <c r="L58" s="72">
        <v>0.1</v>
      </c>
      <c r="S58" s="72">
        <f t="shared" si="0"/>
        <v>58</v>
      </c>
      <c r="Z58" s="72">
        <v>0</v>
      </c>
      <c r="AA58" s="72">
        <v>0</v>
      </c>
      <c r="AB58" s="72">
        <f t="shared" si="1"/>
        <v>1</v>
      </c>
      <c r="AC58" s="72" t="str">
        <f t="shared" si="2"/>
        <v>Non Def.</v>
      </c>
      <c r="AF58" s="72" t="str">
        <f t="shared" si="3"/>
        <v>Non Def.</v>
      </c>
      <c r="AM58" s="107">
        <v>77</v>
      </c>
    </row>
    <row r="59" spans="1:39" ht="15">
      <c r="A59" s="72">
        <v>40</v>
      </c>
      <c r="B59" s="72" t="s">
        <v>103</v>
      </c>
      <c r="C59" s="72">
        <f t="shared" si="5"/>
        <v>59</v>
      </c>
      <c r="D59" s="72" t="s">
        <v>47</v>
      </c>
      <c r="E59" s="72" t="s">
        <v>44</v>
      </c>
      <c r="F59" s="72">
        <v>8</v>
      </c>
      <c r="G59" s="72" t="s">
        <v>238</v>
      </c>
      <c r="H59" s="72" t="s">
        <v>212</v>
      </c>
      <c r="I59" s="110" t="s">
        <v>55</v>
      </c>
      <c r="J59" s="72">
        <v>0.6</v>
      </c>
      <c r="K59" s="72">
        <v>1000</v>
      </c>
      <c r="L59" s="72">
        <v>0.1</v>
      </c>
      <c r="M59" s="72">
        <v>2</v>
      </c>
      <c r="N59" s="72">
        <v>5</v>
      </c>
      <c r="O59" s="72" t="s">
        <v>95</v>
      </c>
      <c r="S59" s="72">
        <f t="shared" si="0"/>
        <v>59</v>
      </c>
      <c r="Z59" s="72">
        <v>1</v>
      </c>
      <c r="AA59" s="72">
        <v>0</v>
      </c>
      <c r="AB59" s="72" t="str">
        <f t="shared" si="1"/>
        <v>F</v>
      </c>
      <c r="AC59" s="72" t="str">
        <f t="shared" si="2"/>
        <v>massa [t]
INSERIRE VALORE
INSERIRE VALORE</v>
      </c>
      <c r="AF59" s="72" t="str">
        <f t="shared" si="3"/>
        <v>massa [t]
INSERIRE VALORE
INSERIRE VALORE</v>
      </c>
      <c r="AM59" s="107">
        <v>78</v>
      </c>
    </row>
    <row r="60" spans="3:39" ht="15">
      <c r="C60" s="72">
        <f t="shared" si="5"/>
        <v>60</v>
      </c>
      <c r="G60" s="72" t="s">
        <v>239</v>
      </c>
      <c r="H60" s="72">
        <v>0</v>
      </c>
      <c r="I60" s="72" t="s">
        <v>101</v>
      </c>
      <c r="J60" s="72">
        <v>1</v>
      </c>
      <c r="S60" s="72">
        <f t="shared" si="0"/>
        <v>60</v>
      </c>
      <c r="Z60" s="72">
        <v>1</v>
      </c>
      <c r="AA60" s="72">
        <v>0</v>
      </c>
      <c r="AB60" s="72">
        <f t="shared" si="1"/>
        <v>0</v>
      </c>
      <c r="AC60" s="72" t="str">
        <f t="shared" si="2"/>
        <v>
INSERIRE VALORE</v>
      </c>
      <c r="AF60" s="72">
        <f t="shared" si="3"/>
      </c>
      <c r="AM60" s="107">
        <v>79</v>
      </c>
    </row>
    <row r="61" spans="1:39" ht="15">
      <c r="A61" s="72">
        <v>41</v>
      </c>
      <c r="B61" s="72" t="s">
        <v>104</v>
      </c>
      <c r="C61" s="72">
        <f t="shared" si="5"/>
        <v>61</v>
      </c>
      <c r="D61" s="72" t="s">
        <v>47</v>
      </c>
      <c r="E61" s="72" t="s">
        <v>44</v>
      </c>
      <c r="F61" s="72">
        <v>6</v>
      </c>
      <c r="G61" s="110" t="s">
        <v>37</v>
      </c>
      <c r="H61" s="72">
        <v>1</v>
      </c>
      <c r="I61" s="72" t="s">
        <v>37</v>
      </c>
      <c r="J61" s="72">
        <v>1</v>
      </c>
      <c r="K61" s="72">
        <v>2000</v>
      </c>
      <c r="L61" s="72">
        <v>0.1</v>
      </c>
      <c r="S61" s="72">
        <f t="shared" si="0"/>
        <v>61</v>
      </c>
      <c r="Z61" s="72">
        <v>0</v>
      </c>
      <c r="AA61" s="72">
        <v>0</v>
      </c>
      <c r="AB61" s="72">
        <f t="shared" si="1"/>
        <v>1</v>
      </c>
      <c r="AC61" s="72" t="str">
        <f t="shared" si="2"/>
        <v>Non Def.</v>
      </c>
      <c r="AF61" s="72" t="str">
        <f t="shared" si="3"/>
        <v>Non Def.</v>
      </c>
      <c r="AM61" s="107">
        <v>80</v>
      </c>
    </row>
    <row r="62" spans="3:32" ht="15">
      <c r="C62" s="72">
        <f t="shared" si="5"/>
        <v>62</v>
      </c>
      <c r="J62" s="72">
        <v>1</v>
      </c>
      <c r="S62" s="72">
        <f t="shared" si="0"/>
        <v>62</v>
      </c>
      <c r="Z62" s="72">
        <v>0</v>
      </c>
      <c r="AA62" s="72">
        <v>0</v>
      </c>
      <c r="AB62" s="72">
        <f t="shared" si="1"/>
        <v>0</v>
      </c>
      <c r="AC62" s="72">
        <f t="shared" si="2"/>
        <v>0</v>
      </c>
      <c r="AF62" s="72">
        <f t="shared" si="3"/>
      </c>
    </row>
    <row r="63" spans="1:32" ht="15">
      <c r="A63" s="72">
        <v>42</v>
      </c>
      <c r="B63" s="72" t="s">
        <v>105</v>
      </c>
      <c r="C63" s="72">
        <f t="shared" si="5"/>
        <v>63</v>
      </c>
      <c r="D63" s="72" t="s">
        <v>47</v>
      </c>
      <c r="E63" s="72" t="s">
        <v>44</v>
      </c>
      <c r="F63" s="72">
        <v>6</v>
      </c>
      <c r="G63" s="110" t="s">
        <v>37</v>
      </c>
      <c r="H63" s="72">
        <v>1</v>
      </c>
      <c r="I63" s="110" t="s">
        <v>37</v>
      </c>
      <c r="J63" s="72">
        <v>1</v>
      </c>
      <c r="K63" s="72">
        <v>1000</v>
      </c>
      <c r="L63" s="72">
        <v>0.1</v>
      </c>
      <c r="S63" s="72">
        <f t="shared" si="0"/>
        <v>63</v>
      </c>
      <c r="Z63" s="72">
        <v>0</v>
      </c>
      <c r="AA63" s="72">
        <v>0</v>
      </c>
      <c r="AB63" s="72">
        <f t="shared" si="1"/>
        <v>1</v>
      </c>
      <c r="AC63" s="72" t="str">
        <f t="shared" si="2"/>
        <v>Non Def.</v>
      </c>
      <c r="AF63" s="72" t="str">
        <f t="shared" si="3"/>
        <v>Non Def.</v>
      </c>
    </row>
    <row r="64" spans="1:32" ht="15">
      <c r="A64" s="72">
        <v>43</v>
      </c>
      <c r="B64" s="72" t="s">
        <v>106</v>
      </c>
      <c r="C64" s="72">
        <f t="shared" si="5"/>
        <v>64</v>
      </c>
      <c r="D64" s="72" t="s">
        <v>47</v>
      </c>
      <c r="E64" s="72" t="s">
        <v>44</v>
      </c>
      <c r="F64" s="72">
        <v>6</v>
      </c>
      <c r="G64" s="72" t="s">
        <v>238</v>
      </c>
      <c r="H64" s="72" t="s">
        <v>212</v>
      </c>
      <c r="I64" s="110" t="s">
        <v>55</v>
      </c>
      <c r="J64" s="72">
        <v>0.6</v>
      </c>
      <c r="K64" s="72">
        <v>1000</v>
      </c>
      <c r="L64" s="72">
        <v>0.1</v>
      </c>
      <c r="M64" s="72">
        <v>2</v>
      </c>
      <c r="N64" s="72">
        <v>5</v>
      </c>
      <c r="O64" s="72" t="s">
        <v>95</v>
      </c>
      <c r="S64" s="72">
        <f t="shared" si="0"/>
        <v>64</v>
      </c>
      <c r="Z64" s="72">
        <v>0</v>
      </c>
      <c r="AA64" s="72">
        <v>0</v>
      </c>
      <c r="AB64" s="72" t="str">
        <f t="shared" si="1"/>
        <v>F</v>
      </c>
      <c r="AC64" s="72" t="str">
        <f t="shared" si="2"/>
        <v>massa [t]
INSERIRE VALORE</v>
      </c>
      <c r="AF64" s="72" t="str">
        <f t="shared" si="3"/>
        <v>massa [t]
INSERIRE VALORE</v>
      </c>
    </row>
    <row r="65" spans="3:32" ht="15">
      <c r="C65" s="72">
        <f t="shared" si="5"/>
        <v>65</v>
      </c>
      <c r="G65" s="72" t="s">
        <v>239</v>
      </c>
      <c r="H65" s="72">
        <v>0</v>
      </c>
      <c r="I65" s="72" t="s">
        <v>101</v>
      </c>
      <c r="J65" s="72">
        <v>1</v>
      </c>
      <c r="S65" s="72">
        <f t="shared" si="0"/>
        <v>65</v>
      </c>
      <c r="Z65" s="72">
        <v>0</v>
      </c>
      <c r="AA65" s="72">
        <v>0</v>
      </c>
      <c r="AB65" s="72">
        <f t="shared" si="1"/>
        <v>0</v>
      </c>
      <c r="AC65" s="72">
        <f t="shared" si="2"/>
      </c>
      <c r="AF65" s="72">
        <f t="shared" si="3"/>
      </c>
    </row>
    <row r="66" spans="1:32" ht="15">
      <c r="A66" s="72">
        <v>44</v>
      </c>
      <c r="B66" s="72" t="s">
        <v>107</v>
      </c>
      <c r="C66" s="72">
        <f t="shared" si="5"/>
        <v>66</v>
      </c>
      <c r="D66" s="72" t="s">
        <v>47</v>
      </c>
      <c r="E66" s="72" t="s">
        <v>44</v>
      </c>
      <c r="F66" s="72">
        <v>6</v>
      </c>
      <c r="G66" s="72" t="s">
        <v>238</v>
      </c>
      <c r="H66" s="72" t="s">
        <v>212</v>
      </c>
      <c r="I66" s="110" t="s">
        <v>55</v>
      </c>
      <c r="J66" s="72">
        <v>0.6</v>
      </c>
      <c r="K66" s="72">
        <v>1000</v>
      </c>
      <c r="L66" s="72">
        <v>0.1</v>
      </c>
      <c r="M66" s="72">
        <v>2</v>
      </c>
      <c r="N66" s="72">
        <v>5</v>
      </c>
      <c r="O66" s="72" t="s">
        <v>95</v>
      </c>
      <c r="S66" s="72">
        <f aca="true" t="shared" si="6" ref="S66:S112">+C66</f>
        <v>66</v>
      </c>
      <c r="Z66" s="72">
        <v>1</v>
      </c>
      <c r="AA66" s="72">
        <v>0</v>
      </c>
      <c r="AB66" s="72" t="str">
        <f aca="true" t="shared" si="7" ref="AB66:AB114">+IF(M66="",H66,"F")</f>
        <v>F</v>
      </c>
      <c r="AC66" s="72" t="str">
        <f aca="true" t="shared" si="8" ref="AC66:AC114">+IF(Z66=1,G66&amp;CHAR(10)&amp;"INSERIRE VALORE",G66)</f>
        <v>massa [t]
INSERIRE VALORE
INSERIRE VALORE</v>
      </c>
      <c r="AF66" s="72" t="str">
        <f aca="true" t="shared" si="9" ref="AF66:AF114">+IF(G66="","",AC66)</f>
        <v>massa [t]
INSERIRE VALORE
INSERIRE VALORE</v>
      </c>
    </row>
    <row r="67" spans="3:32" ht="15">
      <c r="C67" s="72">
        <f t="shared" si="5"/>
        <v>67</v>
      </c>
      <c r="G67" s="72" t="s">
        <v>239</v>
      </c>
      <c r="H67" s="72">
        <v>0</v>
      </c>
      <c r="I67" s="72" t="s">
        <v>101</v>
      </c>
      <c r="J67" s="72">
        <v>1</v>
      </c>
      <c r="S67" s="72">
        <f t="shared" si="6"/>
        <v>67</v>
      </c>
      <c r="Z67" s="72">
        <v>1</v>
      </c>
      <c r="AA67" s="72">
        <v>0</v>
      </c>
      <c r="AB67" s="72">
        <f t="shared" si="7"/>
        <v>0</v>
      </c>
      <c r="AC67" s="72" t="str">
        <f t="shared" si="8"/>
        <v>
INSERIRE VALORE</v>
      </c>
      <c r="AF67" s="72">
        <f t="shared" si="9"/>
      </c>
    </row>
    <row r="68" spans="1:32" ht="15">
      <c r="A68" s="72">
        <v>45</v>
      </c>
      <c r="B68" s="72" t="s">
        <v>108</v>
      </c>
      <c r="C68" s="72">
        <f t="shared" si="5"/>
        <v>68</v>
      </c>
      <c r="D68" s="72" t="s">
        <v>47</v>
      </c>
      <c r="E68" s="72" t="s">
        <v>44</v>
      </c>
      <c r="F68" s="72">
        <v>6</v>
      </c>
      <c r="G68" s="110" t="s">
        <v>37</v>
      </c>
      <c r="H68" s="72">
        <v>1</v>
      </c>
      <c r="I68" s="110" t="s">
        <v>37</v>
      </c>
      <c r="J68" s="72">
        <v>1</v>
      </c>
      <c r="K68" s="72">
        <v>1000</v>
      </c>
      <c r="L68" s="72">
        <v>0.1</v>
      </c>
      <c r="S68" s="72">
        <f t="shared" si="6"/>
        <v>68</v>
      </c>
      <c r="Z68" s="72">
        <v>0</v>
      </c>
      <c r="AA68" s="72">
        <v>0</v>
      </c>
      <c r="AB68" s="72">
        <f t="shared" si="7"/>
        <v>1</v>
      </c>
      <c r="AC68" s="72" t="str">
        <f t="shared" si="8"/>
        <v>Non Def.</v>
      </c>
      <c r="AF68" s="72" t="str">
        <f t="shared" si="9"/>
        <v>Non Def.</v>
      </c>
    </row>
    <row r="69" spans="3:32" ht="15">
      <c r="C69" s="72">
        <f t="shared" si="5"/>
        <v>69</v>
      </c>
      <c r="G69" s="72" t="s">
        <v>239</v>
      </c>
      <c r="H69" s="72">
        <v>0</v>
      </c>
      <c r="S69" s="72">
        <f t="shared" si="6"/>
        <v>69</v>
      </c>
      <c r="Z69" s="72">
        <v>0</v>
      </c>
      <c r="AA69" s="72">
        <v>0</v>
      </c>
      <c r="AB69" s="72">
        <f t="shared" si="7"/>
        <v>0</v>
      </c>
      <c r="AC69" s="72">
        <f t="shared" si="8"/>
      </c>
      <c r="AF69" s="72">
        <f t="shared" si="9"/>
      </c>
    </row>
    <row r="70" spans="1:32" ht="15">
      <c r="A70" s="72">
        <v>46</v>
      </c>
      <c r="B70" s="72" t="s">
        <v>109</v>
      </c>
      <c r="C70" s="72">
        <f t="shared" si="5"/>
        <v>70</v>
      </c>
      <c r="D70" s="72" t="s">
        <v>47</v>
      </c>
      <c r="E70" s="72" t="s">
        <v>44</v>
      </c>
      <c r="F70" s="72">
        <v>4</v>
      </c>
      <c r="G70" s="72" t="s">
        <v>238</v>
      </c>
      <c r="H70" s="72" t="s">
        <v>212</v>
      </c>
      <c r="I70" s="110" t="s">
        <v>37</v>
      </c>
      <c r="J70" s="72">
        <v>1</v>
      </c>
      <c r="K70" s="72">
        <v>300</v>
      </c>
      <c r="L70" s="72">
        <v>0.1</v>
      </c>
      <c r="M70" s="72">
        <v>2</v>
      </c>
      <c r="N70" s="72">
        <v>50</v>
      </c>
      <c r="O70" s="72" t="s">
        <v>85</v>
      </c>
      <c r="S70" s="72">
        <f t="shared" si="6"/>
        <v>70</v>
      </c>
      <c r="Z70" s="72">
        <v>1</v>
      </c>
      <c r="AA70" s="72">
        <v>0</v>
      </c>
      <c r="AB70" s="72" t="str">
        <f t="shared" si="7"/>
        <v>F</v>
      </c>
      <c r="AC70" s="72" t="str">
        <f t="shared" si="8"/>
        <v>massa [t]
INSERIRE VALORE
INSERIRE VALORE</v>
      </c>
      <c r="AF70" s="72" t="str">
        <f t="shared" si="9"/>
        <v>massa [t]
INSERIRE VALORE
INSERIRE VALORE</v>
      </c>
    </row>
    <row r="71" spans="1:32" ht="15">
      <c r="A71" s="72">
        <v>47</v>
      </c>
      <c r="B71" s="72" t="s">
        <v>110</v>
      </c>
      <c r="C71" s="72">
        <f t="shared" si="5"/>
        <v>71</v>
      </c>
      <c r="D71" s="72" t="s">
        <v>47</v>
      </c>
      <c r="E71" s="72" t="s">
        <v>44</v>
      </c>
      <c r="F71" s="72">
        <v>6</v>
      </c>
      <c r="G71" s="72" t="s">
        <v>238</v>
      </c>
      <c r="H71" s="72" t="s">
        <v>212</v>
      </c>
      <c r="I71" s="110" t="s">
        <v>55</v>
      </c>
      <c r="J71" s="72">
        <v>0.6</v>
      </c>
      <c r="K71" s="72">
        <v>1000</v>
      </c>
      <c r="L71" s="72">
        <v>0.1</v>
      </c>
      <c r="M71" s="72">
        <v>2</v>
      </c>
      <c r="N71" s="72">
        <v>10</v>
      </c>
      <c r="O71" s="72" t="s">
        <v>112</v>
      </c>
      <c r="S71" s="72">
        <f t="shared" si="6"/>
        <v>71</v>
      </c>
      <c r="Z71" s="72">
        <v>1</v>
      </c>
      <c r="AA71" s="72">
        <v>0</v>
      </c>
      <c r="AB71" s="72" t="str">
        <f t="shared" si="7"/>
        <v>F</v>
      </c>
      <c r="AC71" s="72" t="str">
        <f t="shared" si="8"/>
        <v>massa [t]
INSERIRE VALORE
INSERIRE VALORE</v>
      </c>
      <c r="AF71" s="72" t="str">
        <f t="shared" si="9"/>
        <v>massa [t]
INSERIRE VALORE
INSERIRE VALORE</v>
      </c>
    </row>
    <row r="72" spans="3:32" ht="15">
      <c r="C72" s="72">
        <f t="shared" si="5"/>
        <v>72</v>
      </c>
      <c r="G72" s="72" t="s">
        <v>239</v>
      </c>
      <c r="H72" s="72">
        <v>0</v>
      </c>
      <c r="I72" s="72" t="s">
        <v>111</v>
      </c>
      <c r="J72" s="72">
        <v>1</v>
      </c>
      <c r="S72" s="72">
        <f t="shared" si="6"/>
        <v>72</v>
      </c>
      <c r="Z72" s="72">
        <v>0</v>
      </c>
      <c r="AA72" s="72">
        <v>0</v>
      </c>
      <c r="AB72" s="72">
        <f t="shared" si="7"/>
        <v>0</v>
      </c>
      <c r="AC72" s="72">
        <f t="shared" si="8"/>
      </c>
      <c r="AF72" s="72">
        <f t="shared" si="9"/>
      </c>
    </row>
    <row r="73" spans="1:32" ht="15">
      <c r="A73" s="72">
        <v>48</v>
      </c>
      <c r="B73" s="72" t="s">
        <v>113</v>
      </c>
      <c r="C73" s="72">
        <f t="shared" si="5"/>
        <v>73</v>
      </c>
      <c r="D73" s="72" t="s">
        <v>114</v>
      </c>
      <c r="E73" s="72" t="s">
        <v>115</v>
      </c>
      <c r="F73" s="72">
        <v>30</v>
      </c>
      <c r="G73" s="110" t="s">
        <v>37</v>
      </c>
      <c r="H73" s="72">
        <v>1</v>
      </c>
      <c r="I73" s="110" t="s">
        <v>37</v>
      </c>
      <c r="J73" s="72">
        <v>1</v>
      </c>
      <c r="S73" s="72">
        <f t="shared" si="6"/>
        <v>73</v>
      </c>
      <c r="Z73" s="72">
        <v>0</v>
      </c>
      <c r="AA73" s="72">
        <v>0</v>
      </c>
      <c r="AB73" s="72">
        <f t="shared" si="7"/>
        <v>1</v>
      </c>
      <c r="AC73" s="72" t="str">
        <f t="shared" si="8"/>
        <v>Non Def.</v>
      </c>
      <c r="AF73" s="72" t="str">
        <f t="shared" si="9"/>
        <v>Non Def.</v>
      </c>
    </row>
    <row r="74" spans="1:32" ht="15">
      <c r="A74" s="72">
        <v>49</v>
      </c>
      <c r="B74" s="72" t="s">
        <v>116</v>
      </c>
      <c r="C74" s="72">
        <f t="shared" si="5"/>
        <v>74</v>
      </c>
      <c r="D74" s="72" t="s">
        <v>114</v>
      </c>
      <c r="E74" s="72" t="s">
        <v>117</v>
      </c>
      <c r="F74" s="72">
        <v>4</v>
      </c>
      <c r="G74" s="110" t="s">
        <v>118</v>
      </c>
      <c r="H74" s="72">
        <v>0.6</v>
      </c>
      <c r="I74" s="110" t="s">
        <v>37</v>
      </c>
      <c r="J74" s="72">
        <v>1</v>
      </c>
      <c r="S74" s="72">
        <f t="shared" si="6"/>
        <v>74</v>
      </c>
      <c r="Z74" s="72">
        <v>0</v>
      </c>
      <c r="AA74" s="72">
        <v>0</v>
      </c>
      <c r="AB74" s="72">
        <f t="shared" si="7"/>
        <v>0.6</v>
      </c>
      <c r="AC74" s="72" t="str">
        <f t="shared" si="8"/>
        <v>Isolato o all'esterno</v>
      </c>
      <c r="AF74" s="72" t="str">
        <f t="shared" si="9"/>
        <v>Isolato o all'esterno</v>
      </c>
    </row>
    <row r="75" spans="3:32" ht="15">
      <c r="C75" s="72">
        <f t="shared" si="5"/>
        <v>75</v>
      </c>
      <c r="G75" s="72" t="s">
        <v>119</v>
      </c>
      <c r="H75" s="72">
        <v>1</v>
      </c>
      <c r="S75" s="72">
        <f t="shared" si="6"/>
        <v>75</v>
      </c>
      <c r="Z75" s="72">
        <v>0</v>
      </c>
      <c r="AA75" s="72">
        <v>0</v>
      </c>
      <c r="AB75" s="72">
        <f t="shared" si="7"/>
        <v>1</v>
      </c>
      <c r="AC75" s="72" t="str">
        <f t="shared" si="8"/>
        <v>In edificio</v>
      </c>
      <c r="AF75" s="72" t="str">
        <f t="shared" si="9"/>
        <v>In edificio</v>
      </c>
    </row>
    <row r="76" spans="1:32" ht="15">
      <c r="A76" s="72">
        <v>50</v>
      </c>
      <c r="B76" s="72" t="s">
        <v>120</v>
      </c>
      <c r="C76" s="72">
        <f t="shared" si="5"/>
        <v>76</v>
      </c>
      <c r="D76" s="72" t="s">
        <v>47</v>
      </c>
      <c r="E76" s="72" t="s">
        <v>44</v>
      </c>
      <c r="F76" s="72">
        <v>6</v>
      </c>
      <c r="G76" s="110" t="s">
        <v>37</v>
      </c>
      <c r="H76" s="72">
        <v>1</v>
      </c>
      <c r="I76" s="110" t="s">
        <v>37</v>
      </c>
      <c r="J76" s="72">
        <v>1</v>
      </c>
      <c r="K76" s="72">
        <v>1000</v>
      </c>
      <c r="L76" s="72">
        <v>0.1</v>
      </c>
      <c r="S76" s="72">
        <f t="shared" si="6"/>
        <v>76</v>
      </c>
      <c r="Z76" s="72">
        <v>0</v>
      </c>
      <c r="AA76" s="72">
        <v>0</v>
      </c>
      <c r="AB76" s="72">
        <f t="shared" si="7"/>
        <v>1</v>
      </c>
      <c r="AC76" s="72" t="str">
        <f t="shared" si="8"/>
        <v>Non Def.</v>
      </c>
      <c r="AF76" s="72" t="str">
        <f t="shared" si="9"/>
        <v>Non Def.</v>
      </c>
    </row>
    <row r="77" spans="1:32" ht="15">
      <c r="A77" s="72">
        <v>51</v>
      </c>
      <c r="B77" s="72" t="s">
        <v>121</v>
      </c>
      <c r="C77" s="72">
        <f t="shared" si="5"/>
        <v>77</v>
      </c>
      <c r="D77" s="72" t="s">
        <v>47</v>
      </c>
      <c r="E77" s="72" t="s">
        <v>44</v>
      </c>
      <c r="F77" s="72">
        <v>6</v>
      </c>
      <c r="G77" s="110" t="s">
        <v>37</v>
      </c>
      <c r="H77" s="72">
        <v>1</v>
      </c>
      <c r="I77" s="110" t="s">
        <v>37</v>
      </c>
      <c r="J77" s="72">
        <v>1</v>
      </c>
      <c r="K77" s="72">
        <v>1000</v>
      </c>
      <c r="L77" s="72">
        <v>0.1</v>
      </c>
      <c r="S77" s="72">
        <f t="shared" si="6"/>
        <v>77</v>
      </c>
      <c r="Z77" s="72">
        <v>0</v>
      </c>
      <c r="AA77" s="72">
        <v>0</v>
      </c>
      <c r="AB77" s="72">
        <f t="shared" si="7"/>
        <v>1</v>
      </c>
      <c r="AC77" s="72" t="str">
        <f t="shared" si="8"/>
        <v>Non Def.</v>
      </c>
      <c r="AF77" s="72" t="str">
        <f t="shared" si="9"/>
        <v>Non Def.</v>
      </c>
    </row>
    <row r="78" spans="1:32" ht="17.25" customHeight="1">
      <c r="A78" s="72">
        <v>52</v>
      </c>
      <c r="B78" s="72" t="s">
        <v>122</v>
      </c>
      <c r="C78" s="72">
        <f t="shared" si="5"/>
        <v>78</v>
      </c>
      <c r="D78" s="72" t="s">
        <v>47</v>
      </c>
      <c r="E78" s="72" t="s">
        <v>44</v>
      </c>
      <c r="F78" s="72">
        <v>8</v>
      </c>
      <c r="G78" s="110" t="s">
        <v>37</v>
      </c>
      <c r="H78" s="72">
        <v>1</v>
      </c>
      <c r="I78" s="110" t="s">
        <v>37</v>
      </c>
      <c r="J78" s="72">
        <v>1</v>
      </c>
      <c r="K78" s="72">
        <v>1000</v>
      </c>
      <c r="L78" s="72">
        <v>0.1</v>
      </c>
      <c r="S78" s="72">
        <f t="shared" si="6"/>
        <v>78</v>
      </c>
      <c r="Z78" s="72">
        <v>0</v>
      </c>
      <c r="AA78" s="72">
        <v>0</v>
      </c>
      <c r="AB78" s="72">
        <f t="shared" si="7"/>
        <v>1</v>
      </c>
      <c r="AC78" s="72" t="str">
        <f t="shared" si="8"/>
        <v>Non Def.</v>
      </c>
      <c r="AF78" s="72" t="str">
        <f t="shared" si="9"/>
        <v>Non Def.</v>
      </c>
    </row>
    <row r="79" spans="1:32" ht="15">
      <c r="A79" s="72">
        <v>53</v>
      </c>
      <c r="B79" s="72" t="s">
        <v>123</v>
      </c>
      <c r="C79" s="72">
        <f t="shared" si="5"/>
        <v>79</v>
      </c>
      <c r="D79" s="72" t="s">
        <v>47</v>
      </c>
      <c r="E79" s="72" t="s">
        <v>44</v>
      </c>
      <c r="F79" s="72">
        <v>6</v>
      </c>
      <c r="G79" s="110" t="s">
        <v>124</v>
      </c>
      <c r="H79" s="72">
        <v>1</v>
      </c>
      <c r="I79" s="110" t="s">
        <v>37</v>
      </c>
      <c r="J79" s="72">
        <v>1</v>
      </c>
      <c r="K79" s="72">
        <v>1000</v>
      </c>
      <c r="L79" s="72">
        <v>0.1</v>
      </c>
      <c r="S79" s="72">
        <f t="shared" si="6"/>
        <v>79</v>
      </c>
      <c r="Z79" s="72">
        <v>0</v>
      </c>
      <c r="AA79" s="72">
        <v>0</v>
      </c>
      <c r="AB79" s="72">
        <f t="shared" si="7"/>
        <v>1</v>
      </c>
      <c r="AC79" s="72" t="str">
        <f t="shared" si="8"/>
        <v>Solo Veicoli a motore</v>
      </c>
      <c r="AF79" s="72" t="str">
        <f t="shared" si="9"/>
        <v>Solo Veicoli a motore</v>
      </c>
    </row>
    <row r="80" spans="3:32" ht="15">
      <c r="C80" s="72">
        <f t="shared" si="5"/>
        <v>80</v>
      </c>
      <c r="G80" s="72" t="s">
        <v>125</v>
      </c>
      <c r="H80" s="72">
        <v>0.6</v>
      </c>
      <c r="S80" s="72">
        <f t="shared" si="6"/>
        <v>80</v>
      </c>
      <c r="Z80" s="72">
        <v>0</v>
      </c>
      <c r="AA80" s="72">
        <v>0</v>
      </c>
      <c r="AB80" s="72">
        <f t="shared" si="7"/>
        <v>0.6</v>
      </c>
      <c r="AC80" s="72" t="str">
        <f t="shared" si="8"/>
        <v>Aeromobili o treni</v>
      </c>
      <c r="AF80" s="72" t="str">
        <f t="shared" si="9"/>
        <v>Aeromobili o treni</v>
      </c>
    </row>
    <row r="81" spans="1:32" ht="15">
      <c r="A81" s="72">
        <v>54</v>
      </c>
      <c r="B81" s="72" t="s">
        <v>126</v>
      </c>
      <c r="C81" s="72">
        <f t="shared" si="5"/>
        <v>81</v>
      </c>
      <c r="D81" s="72" t="s">
        <v>47</v>
      </c>
      <c r="E81" s="72" t="s">
        <v>44</v>
      </c>
      <c r="F81" s="72">
        <v>6</v>
      </c>
      <c r="G81" s="110" t="s">
        <v>37</v>
      </c>
      <c r="H81" s="72">
        <v>1</v>
      </c>
      <c r="I81" s="110" t="s">
        <v>37</v>
      </c>
      <c r="J81" s="72">
        <v>1</v>
      </c>
      <c r="K81" s="72">
        <v>1000</v>
      </c>
      <c r="L81" s="72">
        <v>0.1</v>
      </c>
      <c r="S81" s="72">
        <f t="shared" si="6"/>
        <v>81</v>
      </c>
      <c r="Z81" s="72">
        <v>0</v>
      </c>
      <c r="AA81" s="72">
        <v>0</v>
      </c>
      <c r="AB81" s="72">
        <f t="shared" si="7"/>
        <v>1</v>
      </c>
      <c r="AC81" s="72" t="str">
        <f t="shared" si="8"/>
        <v>Non Def.</v>
      </c>
      <c r="AF81" s="72" t="str">
        <f t="shared" si="9"/>
        <v>Non Def.</v>
      </c>
    </row>
    <row r="82" spans="1:32" ht="15">
      <c r="A82" s="72">
        <v>55</v>
      </c>
      <c r="B82" s="72" t="s">
        <v>127</v>
      </c>
      <c r="C82" s="72">
        <f t="shared" si="5"/>
        <v>82</v>
      </c>
      <c r="D82" s="72" t="s">
        <v>47</v>
      </c>
      <c r="E82" s="72" t="s">
        <v>44</v>
      </c>
      <c r="F82" s="72">
        <v>6</v>
      </c>
      <c r="G82" s="110" t="s">
        <v>37</v>
      </c>
      <c r="H82" s="72">
        <v>1</v>
      </c>
      <c r="I82" s="110" t="s">
        <v>37</v>
      </c>
      <c r="J82" s="72">
        <v>1</v>
      </c>
      <c r="K82" s="72">
        <v>1000</v>
      </c>
      <c r="L82" s="72">
        <v>0.1</v>
      </c>
      <c r="S82" s="72">
        <f t="shared" si="6"/>
        <v>82</v>
      </c>
      <c r="Z82" s="72">
        <v>0</v>
      </c>
      <c r="AA82" s="72">
        <v>0</v>
      </c>
      <c r="AB82" s="72">
        <f t="shared" si="7"/>
        <v>1</v>
      </c>
      <c r="AC82" s="72" t="str">
        <f t="shared" si="8"/>
        <v>Non Def.</v>
      </c>
      <c r="AF82" s="72" t="str">
        <f t="shared" si="9"/>
        <v>Non Def.</v>
      </c>
    </row>
    <row r="83" spans="1:32" ht="15">
      <c r="A83" s="72">
        <v>56</v>
      </c>
      <c r="B83" s="72" t="s">
        <v>128</v>
      </c>
      <c r="C83" s="72">
        <f t="shared" si="5"/>
        <v>83</v>
      </c>
      <c r="D83" s="72" t="s">
        <v>47</v>
      </c>
      <c r="E83" s="72" t="s">
        <v>44</v>
      </c>
      <c r="F83" s="72">
        <v>6</v>
      </c>
      <c r="G83" s="110" t="s">
        <v>37</v>
      </c>
      <c r="H83" s="72">
        <v>1</v>
      </c>
      <c r="I83" s="110" t="s">
        <v>37</v>
      </c>
      <c r="J83" s="72">
        <v>1</v>
      </c>
      <c r="K83" s="72">
        <v>1000</v>
      </c>
      <c r="L83" s="72">
        <v>0.1</v>
      </c>
      <c r="S83" s="72">
        <f t="shared" si="6"/>
        <v>83</v>
      </c>
      <c r="Z83" s="72">
        <v>0</v>
      </c>
      <c r="AA83" s="72">
        <v>0</v>
      </c>
      <c r="AB83" s="72">
        <f t="shared" si="7"/>
        <v>1</v>
      </c>
      <c r="AC83" s="72" t="str">
        <f t="shared" si="8"/>
        <v>Non Def.</v>
      </c>
      <c r="AF83" s="72" t="str">
        <f t="shared" si="9"/>
        <v>Non Def.</v>
      </c>
    </row>
    <row r="84" spans="1:32" ht="15">
      <c r="A84" s="72">
        <v>57</v>
      </c>
      <c r="B84" s="72" t="s">
        <v>129</v>
      </c>
      <c r="C84" s="72">
        <f t="shared" si="5"/>
        <v>84</v>
      </c>
      <c r="D84" s="72" t="s">
        <v>47</v>
      </c>
      <c r="E84" s="72" t="s">
        <v>44</v>
      </c>
      <c r="F84" s="72">
        <v>6</v>
      </c>
      <c r="G84" s="110" t="s">
        <v>37</v>
      </c>
      <c r="H84" s="72">
        <v>1</v>
      </c>
      <c r="I84" s="110" t="s">
        <v>37</v>
      </c>
      <c r="J84" s="72">
        <v>1</v>
      </c>
      <c r="K84" s="72">
        <v>1000</v>
      </c>
      <c r="L84" s="72">
        <v>0.1</v>
      </c>
      <c r="S84" s="72">
        <f t="shared" si="6"/>
        <v>84</v>
      </c>
      <c r="Z84" s="72">
        <v>0</v>
      </c>
      <c r="AA84" s="72">
        <v>0</v>
      </c>
      <c r="AB84" s="72">
        <f t="shared" si="7"/>
        <v>1</v>
      </c>
      <c r="AC84" s="72" t="str">
        <f t="shared" si="8"/>
        <v>Non Def.</v>
      </c>
      <c r="AF84" s="72" t="str">
        <f t="shared" si="9"/>
        <v>Non Def.</v>
      </c>
    </row>
    <row r="85" spans="1:32" ht="15">
      <c r="A85" s="72">
        <v>58</v>
      </c>
      <c r="B85" s="72" t="s">
        <v>130</v>
      </c>
      <c r="C85" s="72">
        <f t="shared" si="5"/>
        <v>85</v>
      </c>
      <c r="D85" s="72" t="s">
        <v>47</v>
      </c>
      <c r="E85" s="72" t="s">
        <v>44</v>
      </c>
      <c r="F85" s="72">
        <v>6</v>
      </c>
      <c r="G85" s="110" t="s">
        <v>218</v>
      </c>
      <c r="H85" s="72">
        <v>1</v>
      </c>
      <c r="I85" s="110" t="s">
        <v>37</v>
      </c>
      <c r="J85" s="72">
        <v>1</v>
      </c>
      <c r="K85" s="72">
        <v>1000</v>
      </c>
      <c r="L85" s="72">
        <v>0.1</v>
      </c>
      <c r="S85" s="72">
        <f t="shared" si="6"/>
        <v>85</v>
      </c>
      <c r="Z85" s="72">
        <v>0</v>
      </c>
      <c r="AA85" s="72">
        <v>0</v>
      </c>
      <c r="AB85" s="72">
        <f t="shared" si="7"/>
        <v>1</v>
      </c>
      <c r="AC85" s="72" t="str">
        <f t="shared" si="8"/>
        <v>Categoria B</v>
      </c>
      <c r="AF85" s="72" t="str">
        <f t="shared" si="9"/>
        <v>Categoria B</v>
      </c>
    </row>
    <row r="86" spans="3:32" ht="15">
      <c r="C86" s="72">
        <f t="shared" si="5"/>
        <v>86</v>
      </c>
      <c r="G86" s="72" t="s">
        <v>217</v>
      </c>
      <c r="H86" s="72">
        <v>1.5</v>
      </c>
      <c r="S86" s="72">
        <f t="shared" si="6"/>
        <v>86</v>
      </c>
      <c r="Z86" s="72">
        <v>0</v>
      </c>
      <c r="AA86" s="72">
        <v>0</v>
      </c>
      <c r="AB86" s="72">
        <f t="shared" si="7"/>
        <v>1.5</v>
      </c>
      <c r="AC86" s="72" t="str">
        <f t="shared" si="8"/>
        <v>Categoria A</v>
      </c>
      <c r="AF86" s="72" t="str">
        <f t="shared" si="9"/>
        <v>Categoria A</v>
      </c>
    </row>
    <row r="87" spans="1:32" s="71" customFormat="1" ht="15">
      <c r="A87" s="71">
        <v>59</v>
      </c>
      <c r="B87" s="111" t="s">
        <v>370</v>
      </c>
      <c r="C87" s="71">
        <f t="shared" si="5"/>
        <v>87</v>
      </c>
      <c r="D87" s="106" t="s">
        <v>371</v>
      </c>
      <c r="E87" s="71" t="s">
        <v>44</v>
      </c>
      <c r="F87" s="71">
        <v>4</v>
      </c>
      <c r="G87" s="106" t="s">
        <v>37</v>
      </c>
      <c r="H87" s="71">
        <v>1</v>
      </c>
      <c r="I87" s="106" t="s">
        <v>37</v>
      </c>
      <c r="J87" s="71">
        <v>1</v>
      </c>
      <c r="K87" s="71">
        <v>1000</v>
      </c>
      <c r="L87" s="71">
        <v>0.1</v>
      </c>
      <c r="S87" s="71">
        <f t="shared" si="6"/>
        <v>87</v>
      </c>
      <c r="Z87" s="71">
        <v>0</v>
      </c>
      <c r="AA87" s="71">
        <v>0</v>
      </c>
      <c r="AB87" s="71">
        <f t="shared" si="7"/>
        <v>1</v>
      </c>
      <c r="AC87" s="71" t="str">
        <f t="shared" si="8"/>
        <v>Non Def.</v>
      </c>
      <c r="AF87" s="71" t="str">
        <f t="shared" si="9"/>
        <v>Non Def.</v>
      </c>
    </row>
    <row r="88" spans="1:32" s="71" customFormat="1" ht="15">
      <c r="A88" s="71">
        <v>60</v>
      </c>
      <c r="B88" s="111" t="s">
        <v>370</v>
      </c>
      <c r="C88" s="71">
        <f t="shared" si="5"/>
        <v>88</v>
      </c>
      <c r="D88" s="106" t="s">
        <v>371</v>
      </c>
      <c r="E88" s="71" t="s">
        <v>44</v>
      </c>
      <c r="F88" s="71">
        <v>6</v>
      </c>
      <c r="G88" s="106" t="s">
        <v>37</v>
      </c>
      <c r="H88" s="71">
        <v>1</v>
      </c>
      <c r="I88" s="106" t="s">
        <v>37</v>
      </c>
      <c r="J88" s="71">
        <v>1</v>
      </c>
      <c r="K88" s="71">
        <v>1000</v>
      </c>
      <c r="L88" s="71">
        <v>0.1</v>
      </c>
      <c r="S88" s="71">
        <f t="shared" si="6"/>
        <v>88</v>
      </c>
      <c r="Z88" s="71">
        <v>0</v>
      </c>
      <c r="AA88" s="71">
        <v>0</v>
      </c>
      <c r="AB88" s="71">
        <f t="shared" si="7"/>
        <v>1</v>
      </c>
      <c r="AC88" s="71" t="str">
        <f t="shared" si="8"/>
        <v>Non Def.</v>
      </c>
      <c r="AF88" s="71" t="str">
        <f t="shared" si="9"/>
        <v>Non Def.</v>
      </c>
    </row>
    <row r="89" spans="1:32" s="71" customFormat="1" ht="15">
      <c r="A89" s="71">
        <v>61</v>
      </c>
      <c r="B89" s="111" t="s">
        <v>370</v>
      </c>
      <c r="C89" s="71">
        <f t="shared" si="5"/>
        <v>89</v>
      </c>
      <c r="D89" s="106" t="s">
        <v>371</v>
      </c>
      <c r="E89" s="71" t="s">
        <v>44</v>
      </c>
      <c r="F89" s="71">
        <v>6</v>
      </c>
      <c r="G89" s="106" t="s">
        <v>37</v>
      </c>
      <c r="H89" s="71">
        <v>1</v>
      </c>
      <c r="I89" s="106" t="s">
        <v>37</v>
      </c>
      <c r="J89" s="71">
        <v>1</v>
      </c>
      <c r="K89" s="71">
        <v>1000</v>
      </c>
      <c r="L89" s="71">
        <v>0.1</v>
      </c>
      <c r="S89" s="71">
        <f t="shared" si="6"/>
        <v>89</v>
      </c>
      <c r="Z89" s="71">
        <v>0</v>
      </c>
      <c r="AA89" s="71">
        <v>0</v>
      </c>
      <c r="AB89" s="71">
        <f t="shared" si="7"/>
        <v>1</v>
      </c>
      <c r="AC89" s="71" t="str">
        <f t="shared" si="8"/>
        <v>Non Def.</v>
      </c>
      <c r="AF89" s="71" t="str">
        <f t="shared" si="9"/>
        <v>Non Def.</v>
      </c>
    </row>
    <row r="90" spans="1:32" s="71" customFormat="1" ht="15">
      <c r="A90" s="71">
        <v>62</v>
      </c>
      <c r="B90" s="111" t="s">
        <v>370</v>
      </c>
      <c r="C90" s="71">
        <f t="shared" si="5"/>
        <v>90</v>
      </c>
      <c r="D90" s="106" t="s">
        <v>371</v>
      </c>
      <c r="E90" s="71" t="s">
        <v>44</v>
      </c>
      <c r="F90" s="71">
        <v>10</v>
      </c>
      <c r="G90" s="106" t="s">
        <v>37</v>
      </c>
      <c r="H90" s="71">
        <v>1</v>
      </c>
      <c r="I90" s="106" t="s">
        <v>37</v>
      </c>
      <c r="J90" s="71">
        <v>1</v>
      </c>
      <c r="K90" s="71">
        <v>1000</v>
      </c>
      <c r="L90" s="71">
        <v>0.1</v>
      </c>
      <c r="S90" s="71">
        <f t="shared" si="6"/>
        <v>90</v>
      </c>
      <c r="Z90" s="71">
        <v>0</v>
      </c>
      <c r="AA90" s="71">
        <v>0</v>
      </c>
      <c r="AB90" s="71">
        <f t="shared" si="7"/>
        <v>1</v>
      </c>
      <c r="AC90" s="71" t="str">
        <f t="shared" si="8"/>
        <v>Non Def.</v>
      </c>
      <c r="AF90" s="71" t="str">
        <f t="shared" si="9"/>
        <v>Non Def.</v>
      </c>
    </row>
    <row r="91" spans="1:32" ht="15">
      <c r="A91" s="72">
        <v>63</v>
      </c>
      <c r="B91" s="72" t="s">
        <v>135</v>
      </c>
      <c r="C91" s="72">
        <f t="shared" si="5"/>
        <v>91</v>
      </c>
      <c r="D91" s="72" t="s">
        <v>47</v>
      </c>
      <c r="E91" s="72" t="s">
        <v>44</v>
      </c>
      <c r="F91" s="72">
        <v>4</v>
      </c>
      <c r="G91" s="72" t="s">
        <v>137</v>
      </c>
      <c r="H91" s="72" t="s">
        <v>212</v>
      </c>
      <c r="I91" s="110" t="s">
        <v>37</v>
      </c>
      <c r="J91" s="72">
        <v>1</v>
      </c>
      <c r="K91" s="72">
        <v>1000</v>
      </c>
      <c r="L91" s="72">
        <v>0.1</v>
      </c>
      <c r="M91" s="72">
        <v>2</v>
      </c>
      <c r="N91" s="72">
        <v>500</v>
      </c>
      <c r="O91" s="72" t="s">
        <v>136</v>
      </c>
      <c r="S91" s="72">
        <f t="shared" si="6"/>
        <v>91</v>
      </c>
      <c r="Z91" s="72">
        <v>0</v>
      </c>
      <c r="AA91" s="72">
        <v>0</v>
      </c>
      <c r="AB91" s="72" t="str">
        <f t="shared" si="7"/>
        <v>F</v>
      </c>
      <c r="AC91" s="72" t="str">
        <f t="shared" si="8"/>
        <v>massa [kg]</v>
      </c>
      <c r="AF91" s="72" t="str">
        <f t="shared" si="9"/>
        <v>massa [kg]</v>
      </c>
    </row>
    <row r="92" spans="1:32" ht="15">
      <c r="A92" s="72">
        <v>64</v>
      </c>
      <c r="B92" s="72" t="s">
        <v>138</v>
      </c>
      <c r="C92" s="72">
        <f t="shared" si="5"/>
        <v>92</v>
      </c>
      <c r="D92" s="72" t="s">
        <v>47</v>
      </c>
      <c r="E92" s="72" t="s">
        <v>44</v>
      </c>
      <c r="F92" s="72">
        <v>6</v>
      </c>
      <c r="G92" s="110" t="s">
        <v>37</v>
      </c>
      <c r="H92" s="72">
        <v>1</v>
      </c>
      <c r="I92" s="110" t="s">
        <v>37</v>
      </c>
      <c r="J92" s="72">
        <v>1</v>
      </c>
      <c r="K92" s="72">
        <v>300</v>
      </c>
      <c r="L92" s="72">
        <v>0.1</v>
      </c>
      <c r="S92" s="72">
        <f t="shared" si="6"/>
        <v>92</v>
      </c>
      <c r="Z92" s="72">
        <v>0</v>
      </c>
      <c r="AA92" s="72">
        <v>0</v>
      </c>
      <c r="AB92" s="72">
        <f t="shared" si="7"/>
        <v>1</v>
      </c>
      <c r="AC92" s="72" t="str">
        <f t="shared" si="8"/>
        <v>Non Def.</v>
      </c>
      <c r="AF92" s="72" t="str">
        <f t="shared" si="9"/>
        <v>Non Def.</v>
      </c>
    </row>
    <row r="93" spans="1:32" ht="30">
      <c r="A93" s="72">
        <v>65</v>
      </c>
      <c r="B93" s="72" t="s">
        <v>139</v>
      </c>
      <c r="C93" s="72">
        <f t="shared" si="5"/>
        <v>93</v>
      </c>
      <c r="D93" s="72" t="s">
        <v>47</v>
      </c>
      <c r="E93" s="72" t="s">
        <v>44</v>
      </c>
      <c r="F93" s="72">
        <v>6</v>
      </c>
      <c r="G93" s="73" t="s">
        <v>237</v>
      </c>
      <c r="H93" s="72" t="s">
        <v>212</v>
      </c>
      <c r="I93" s="110" t="s">
        <v>37</v>
      </c>
      <c r="J93" s="72">
        <v>1</v>
      </c>
      <c r="K93" s="72">
        <v>1000</v>
      </c>
      <c r="L93" s="72">
        <v>0.1</v>
      </c>
      <c r="M93" s="72">
        <v>3</v>
      </c>
      <c r="N93" s="72">
        <v>200</v>
      </c>
      <c r="O93" s="72" t="s">
        <v>312</v>
      </c>
      <c r="S93" s="72">
        <f t="shared" si="6"/>
        <v>93</v>
      </c>
      <c r="T93" s="72">
        <v>3</v>
      </c>
      <c r="U93" s="72">
        <v>100</v>
      </c>
      <c r="Z93" s="72">
        <v>1</v>
      </c>
      <c r="AA93" s="72">
        <v>0</v>
      </c>
      <c r="AB93" s="72" t="str">
        <f t="shared" si="7"/>
        <v>F</v>
      </c>
      <c r="AC93" s="72" t="str">
        <f t="shared" si="8"/>
        <v>Persone
INSERIRE VALORE
INSERIRE VALORE</v>
      </c>
      <c r="AF93" s="72" t="str">
        <f t="shared" si="9"/>
        <v>Persone
INSERIRE VALORE
INSERIRE VALORE</v>
      </c>
    </row>
    <row r="94" spans="1:32" ht="15">
      <c r="A94" s="72">
        <v>66</v>
      </c>
      <c r="B94" s="72" t="s">
        <v>140</v>
      </c>
      <c r="C94" s="72">
        <f t="shared" si="5"/>
        <v>94</v>
      </c>
      <c r="D94" s="72" t="s">
        <v>47</v>
      </c>
      <c r="E94" s="72" t="s">
        <v>44</v>
      </c>
      <c r="F94" s="72">
        <v>6</v>
      </c>
      <c r="G94" s="72" t="s">
        <v>240</v>
      </c>
      <c r="H94" s="72" t="s">
        <v>212</v>
      </c>
      <c r="I94" s="110" t="s">
        <v>37</v>
      </c>
      <c r="J94" s="72">
        <v>1</v>
      </c>
      <c r="K94" s="72">
        <v>1000</v>
      </c>
      <c r="L94" s="72">
        <v>0.4</v>
      </c>
      <c r="M94" s="72">
        <v>2</v>
      </c>
      <c r="N94" s="72">
        <v>25</v>
      </c>
      <c r="O94" s="72" t="s">
        <v>219</v>
      </c>
      <c r="S94" s="72">
        <f t="shared" si="6"/>
        <v>94</v>
      </c>
      <c r="Z94" s="72">
        <v>1</v>
      </c>
      <c r="AA94" s="72">
        <v>0</v>
      </c>
      <c r="AB94" s="72" t="str">
        <f t="shared" si="7"/>
        <v>F</v>
      </c>
      <c r="AC94" s="72" t="str">
        <f t="shared" si="8"/>
        <v>Posti Letto
INSERIRE VALORE
INSERIRE VALORE</v>
      </c>
      <c r="AF94" s="72" t="str">
        <f t="shared" si="9"/>
        <v>Posti Letto
INSERIRE VALORE
INSERIRE VALORE</v>
      </c>
    </row>
    <row r="95" spans="1:32" ht="30">
      <c r="A95" s="72">
        <v>67</v>
      </c>
      <c r="B95" s="72" t="s">
        <v>142</v>
      </c>
      <c r="C95" s="72">
        <f t="shared" si="5"/>
        <v>95</v>
      </c>
      <c r="D95" s="72" t="s">
        <v>47</v>
      </c>
      <c r="E95" s="72" t="s">
        <v>44</v>
      </c>
      <c r="F95" s="72">
        <v>4</v>
      </c>
      <c r="G95" s="109" t="s">
        <v>237</v>
      </c>
      <c r="H95" s="72" t="s">
        <v>212</v>
      </c>
      <c r="I95" s="110" t="s">
        <v>37</v>
      </c>
      <c r="J95" s="72">
        <v>1</v>
      </c>
      <c r="K95" s="72">
        <v>1000</v>
      </c>
      <c r="L95" s="72">
        <v>0.1</v>
      </c>
      <c r="M95" s="72">
        <v>2</v>
      </c>
      <c r="N95" s="72">
        <v>100</v>
      </c>
      <c r="O95" s="72" t="s">
        <v>141</v>
      </c>
      <c r="S95" s="72">
        <f t="shared" si="6"/>
        <v>95</v>
      </c>
      <c r="Z95" s="72">
        <v>1</v>
      </c>
      <c r="AA95" s="72">
        <v>0</v>
      </c>
      <c r="AB95" s="72" t="str">
        <f t="shared" si="7"/>
        <v>F</v>
      </c>
      <c r="AC95" s="72" t="str">
        <f t="shared" si="8"/>
        <v>Persone
INSERIRE VALORE
INSERIRE VALORE</v>
      </c>
      <c r="AF95" s="72" t="str">
        <f t="shared" si="9"/>
        <v>Persone
INSERIRE VALORE
INSERIRE VALORE</v>
      </c>
    </row>
    <row r="96" spans="1:32" ht="30">
      <c r="A96" s="72">
        <v>68</v>
      </c>
      <c r="B96" s="72" t="s">
        <v>143</v>
      </c>
      <c r="C96" s="72">
        <f t="shared" si="5"/>
        <v>96</v>
      </c>
      <c r="D96" s="73" t="s">
        <v>144</v>
      </c>
      <c r="E96" s="72" t="s">
        <v>44</v>
      </c>
      <c r="F96" s="72">
        <v>6</v>
      </c>
      <c r="G96" s="73" t="s">
        <v>244</v>
      </c>
      <c r="H96" s="72">
        <v>7</v>
      </c>
      <c r="I96" s="73" t="s">
        <v>245</v>
      </c>
      <c r="J96" s="72">
        <v>8</v>
      </c>
      <c r="K96" s="72">
        <v>3000</v>
      </c>
      <c r="L96" s="72">
        <v>0.4</v>
      </c>
      <c r="O96" s="72" t="s">
        <v>145</v>
      </c>
      <c r="S96" s="72">
        <f t="shared" si="6"/>
        <v>96</v>
      </c>
      <c r="Z96" s="72">
        <v>0</v>
      </c>
      <c r="AA96" s="72">
        <v>0</v>
      </c>
      <c r="AB96" s="72">
        <f t="shared" si="7"/>
        <v>7</v>
      </c>
      <c r="AC96" s="72" t="str">
        <f t="shared" si="8"/>
        <v>Sup. area tipo B e F
INSERIRE VALORE</v>
      </c>
      <c r="AF96" s="72" t="str">
        <f t="shared" si="9"/>
        <v>Sup. area tipo B e F
INSERIRE VALORE</v>
      </c>
    </row>
    <row r="97" spans="1:32" ht="15">
      <c r="A97" s="72">
        <v>69</v>
      </c>
      <c r="B97" s="72" t="s">
        <v>146</v>
      </c>
      <c r="C97" s="72">
        <f t="shared" si="5"/>
        <v>97</v>
      </c>
      <c r="D97" s="72" t="s">
        <v>47</v>
      </c>
      <c r="E97" s="72" t="s">
        <v>44</v>
      </c>
      <c r="F97" s="72">
        <v>6</v>
      </c>
      <c r="G97" s="110" t="s">
        <v>241</v>
      </c>
      <c r="H97" s="72">
        <v>0.8</v>
      </c>
      <c r="I97" s="110" t="s">
        <v>37</v>
      </c>
      <c r="J97" s="72">
        <v>1</v>
      </c>
      <c r="K97" s="72">
        <v>1000</v>
      </c>
      <c r="L97" s="72">
        <v>0.3</v>
      </c>
      <c r="S97" s="72">
        <f t="shared" si="6"/>
        <v>97</v>
      </c>
      <c r="Z97" s="72">
        <v>1</v>
      </c>
      <c r="AA97" s="72">
        <v>1</v>
      </c>
      <c r="AB97" s="72">
        <f t="shared" si="7"/>
        <v>0.8</v>
      </c>
      <c r="AC97" s="72" t="str">
        <f t="shared" si="8"/>
        <v>Vendita Ingrosso
INSERIRE VALORE
INSERIRE VALORE</v>
      </c>
      <c r="AF97" s="72" t="str">
        <f t="shared" si="9"/>
        <v>Vendita Ingrosso
INSERIRE VALORE
INSERIRE VALORE</v>
      </c>
    </row>
    <row r="98" spans="3:32" ht="15">
      <c r="C98" s="72">
        <f t="shared" si="5"/>
        <v>98</v>
      </c>
      <c r="G98" s="110" t="s">
        <v>147</v>
      </c>
      <c r="H98" s="72">
        <v>1</v>
      </c>
      <c r="S98" s="72">
        <f t="shared" si="6"/>
        <v>98</v>
      </c>
      <c r="AA98" s="72">
        <v>0</v>
      </c>
      <c r="AB98" s="72">
        <f t="shared" si="7"/>
        <v>1</v>
      </c>
      <c r="AC98" s="72" t="str">
        <f t="shared" si="8"/>
        <v>Vendita Dettaglio</v>
      </c>
      <c r="AF98" s="72" t="str">
        <f t="shared" si="9"/>
        <v>Vendita Dettaglio</v>
      </c>
    </row>
    <row r="99" spans="1:32" ht="15">
      <c r="A99" s="72">
        <v>70</v>
      </c>
      <c r="B99" s="72" t="s">
        <v>148</v>
      </c>
      <c r="C99" s="72">
        <f t="shared" si="5"/>
        <v>99</v>
      </c>
      <c r="D99" s="72" t="s">
        <v>47</v>
      </c>
      <c r="E99" s="72" t="s">
        <v>44</v>
      </c>
      <c r="F99" s="72">
        <v>4</v>
      </c>
      <c r="G99" s="72" t="s">
        <v>238</v>
      </c>
      <c r="H99" s="72" t="s">
        <v>212</v>
      </c>
      <c r="I99" s="110" t="s">
        <v>37</v>
      </c>
      <c r="J99" s="72">
        <v>1</v>
      </c>
      <c r="K99" s="72">
        <v>1000</v>
      </c>
      <c r="L99" s="72">
        <v>0.1</v>
      </c>
      <c r="M99" s="72">
        <v>2</v>
      </c>
      <c r="N99" s="72">
        <v>5</v>
      </c>
      <c r="O99" s="72" t="s">
        <v>95</v>
      </c>
      <c r="S99" s="72">
        <f t="shared" si="6"/>
        <v>99</v>
      </c>
      <c r="Z99" s="72">
        <v>1</v>
      </c>
      <c r="AA99" s="72">
        <v>0</v>
      </c>
      <c r="AB99" s="72" t="str">
        <f t="shared" si="7"/>
        <v>F</v>
      </c>
      <c r="AC99" s="72" t="str">
        <f t="shared" si="8"/>
        <v>massa [t]
INSERIRE VALORE
INSERIRE VALORE</v>
      </c>
      <c r="AF99" s="72" t="str">
        <f t="shared" si="9"/>
        <v>massa [t]
INSERIRE VALORE
INSERIRE VALORE</v>
      </c>
    </row>
    <row r="100" spans="1:32" ht="15">
      <c r="A100" s="72">
        <v>71</v>
      </c>
      <c r="B100" s="72" t="s">
        <v>149</v>
      </c>
      <c r="C100" s="72">
        <f t="shared" si="5"/>
        <v>100</v>
      </c>
      <c r="D100" s="72" t="s">
        <v>47</v>
      </c>
      <c r="E100" s="72" t="s">
        <v>44</v>
      </c>
      <c r="F100" s="72">
        <v>6</v>
      </c>
      <c r="G100" s="72" t="s">
        <v>237</v>
      </c>
      <c r="H100" s="72" t="s">
        <v>212</v>
      </c>
      <c r="I100" s="110" t="s">
        <v>37</v>
      </c>
      <c r="J100" s="72">
        <v>1</v>
      </c>
      <c r="K100" s="72">
        <v>1000</v>
      </c>
      <c r="L100" s="72">
        <v>0.4</v>
      </c>
      <c r="M100" s="72">
        <v>3</v>
      </c>
      <c r="N100" s="72">
        <v>300</v>
      </c>
      <c r="O100" s="72" t="s">
        <v>150</v>
      </c>
      <c r="S100" s="72">
        <f t="shared" si="6"/>
        <v>100</v>
      </c>
      <c r="Z100" s="72">
        <v>1</v>
      </c>
      <c r="AA100" s="72">
        <v>0</v>
      </c>
      <c r="AB100" s="72" t="str">
        <f t="shared" si="7"/>
        <v>F</v>
      </c>
      <c r="AC100" s="72" t="str">
        <f t="shared" si="8"/>
        <v>Persone
INSERIRE VALORE
INSERIRE VALORE</v>
      </c>
      <c r="AF100" s="72" t="str">
        <f t="shared" si="9"/>
        <v>Persone
INSERIRE VALORE
INSERIRE VALORE</v>
      </c>
    </row>
    <row r="101" spans="1:32" ht="15">
      <c r="A101" s="72">
        <v>72</v>
      </c>
      <c r="B101" s="72" t="s">
        <v>154</v>
      </c>
      <c r="C101" s="72">
        <f t="shared" si="5"/>
        <v>101</v>
      </c>
      <c r="D101" s="72" t="s">
        <v>47</v>
      </c>
      <c r="E101" s="72" t="s">
        <v>44</v>
      </c>
      <c r="F101" s="72">
        <v>8</v>
      </c>
      <c r="G101" s="110" t="s">
        <v>152</v>
      </c>
      <c r="H101" s="72">
        <v>1</v>
      </c>
      <c r="I101" s="110" t="s">
        <v>37</v>
      </c>
      <c r="J101" s="72">
        <v>1</v>
      </c>
      <c r="K101" s="72">
        <v>1000</v>
      </c>
      <c r="L101" s="72">
        <v>0.3</v>
      </c>
      <c r="O101" s="72" t="s">
        <v>157</v>
      </c>
      <c r="S101" s="72">
        <f t="shared" si="6"/>
        <v>101</v>
      </c>
      <c r="Z101" s="72">
        <v>0</v>
      </c>
      <c r="AA101" s="72">
        <v>0</v>
      </c>
      <c r="AB101" s="72">
        <f t="shared" si="7"/>
        <v>1</v>
      </c>
      <c r="AC101" s="72" t="str">
        <f t="shared" si="8"/>
        <v>Bibblioteche, museo e simili</v>
      </c>
      <c r="AF101" s="72" t="str">
        <f t="shared" si="9"/>
        <v>Bibblioteche, museo e simili</v>
      </c>
    </row>
    <row r="102" spans="3:32" ht="15">
      <c r="C102" s="72">
        <f t="shared" si="5"/>
        <v>102</v>
      </c>
      <c r="G102" s="72" t="s">
        <v>153</v>
      </c>
      <c r="H102" s="72">
        <v>0.3</v>
      </c>
      <c r="S102" s="72">
        <f t="shared" si="6"/>
        <v>102</v>
      </c>
      <c r="Z102" s="72">
        <v>0</v>
      </c>
      <c r="AA102" s="72">
        <v>0</v>
      </c>
      <c r="AB102" s="72">
        <f t="shared" si="7"/>
        <v>0.3</v>
      </c>
      <c r="AC102" s="72" t="str">
        <f t="shared" si="8"/>
        <v>Altre attività soggette</v>
      </c>
      <c r="AF102" s="72" t="str">
        <f t="shared" si="9"/>
        <v>Altre attività soggette</v>
      </c>
    </row>
    <row r="103" spans="1:32" ht="15">
      <c r="A103" s="72">
        <v>73</v>
      </c>
      <c r="B103" s="72" t="s">
        <v>151</v>
      </c>
      <c r="C103" s="72">
        <f t="shared" si="5"/>
        <v>103</v>
      </c>
      <c r="D103" s="72" t="s">
        <v>47</v>
      </c>
      <c r="E103" s="72" t="s">
        <v>44</v>
      </c>
      <c r="F103" s="72">
        <v>4</v>
      </c>
      <c r="G103" s="110" t="s">
        <v>155</v>
      </c>
      <c r="H103" s="72">
        <v>1</v>
      </c>
      <c r="I103" s="110" t="s">
        <v>37</v>
      </c>
      <c r="J103" s="72">
        <v>1</v>
      </c>
      <c r="K103" s="72">
        <v>1500</v>
      </c>
      <c r="L103" s="72">
        <v>0.1</v>
      </c>
      <c r="O103" s="72" t="s">
        <v>158</v>
      </c>
      <c r="S103" s="72">
        <f t="shared" si="6"/>
        <v>103</v>
      </c>
      <c r="Z103" s="72">
        <v>0</v>
      </c>
      <c r="AA103" s="72">
        <v>0</v>
      </c>
      <c r="AB103" s="72">
        <f t="shared" si="7"/>
        <v>1</v>
      </c>
      <c r="AC103" s="72" t="str">
        <f t="shared" si="8"/>
        <v>Attività interne non soggette</v>
      </c>
      <c r="AF103" s="72" t="str">
        <f t="shared" si="9"/>
        <v>Attività interne non soggette</v>
      </c>
    </row>
    <row r="104" spans="3:32" ht="15">
      <c r="C104" s="72">
        <f t="shared" si="5"/>
        <v>104</v>
      </c>
      <c r="G104" s="110" t="s">
        <v>156</v>
      </c>
      <c r="H104" s="72">
        <v>0.2</v>
      </c>
      <c r="S104" s="72">
        <f t="shared" si="6"/>
        <v>104</v>
      </c>
      <c r="Z104" s="72">
        <v>0</v>
      </c>
      <c r="AA104" s="72">
        <v>0</v>
      </c>
      <c r="AB104" s="72">
        <f t="shared" si="7"/>
        <v>0.2</v>
      </c>
      <c r="AC104" s="72" t="str">
        <f t="shared" si="8"/>
        <v>Attività interne soggette</v>
      </c>
      <c r="AF104" s="72" t="str">
        <f t="shared" si="9"/>
        <v>Attività interne soggette</v>
      </c>
    </row>
    <row r="105" spans="1:32" ht="15">
      <c r="A105" s="72">
        <v>74</v>
      </c>
      <c r="B105" s="72" t="s">
        <v>159</v>
      </c>
      <c r="C105" s="72">
        <f t="shared" si="5"/>
        <v>105</v>
      </c>
      <c r="D105" s="72" t="s">
        <v>114</v>
      </c>
      <c r="E105" s="72" t="s">
        <v>117</v>
      </c>
      <c r="F105" s="72">
        <v>4</v>
      </c>
      <c r="G105" s="110" t="s">
        <v>37</v>
      </c>
      <c r="H105" s="72">
        <v>1</v>
      </c>
      <c r="I105" s="110" t="s">
        <v>37</v>
      </c>
      <c r="J105" s="72">
        <v>1</v>
      </c>
      <c r="S105" s="72">
        <f t="shared" si="6"/>
        <v>105</v>
      </c>
      <c r="Z105" s="72">
        <v>0</v>
      </c>
      <c r="AA105" s="72">
        <v>0</v>
      </c>
      <c r="AB105" s="72">
        <f t="shared" si="7"/>
        <v>1</v>
      </c>
      <c r="AC105" s="72" t="str">
        <f t="shared" si="8"/>
        <v>Non Def.</v>
      </c>
      <c r="AF105" s="72" t="str">
        <f t="shared" si="9"/>
        <v>Non Def.</v>
      </c>
    </row>
    <row r="106" spans="1:32" ht="45">
      <c r="A106" s="72">
        <v>75</v>
      </c>
      <c r="B106" s="72" t="s">
        <v>160</v>
      </c>
      <c r="C106" s="72">
        <f t="shared" si="5"/>
        <v>106</v>
      </c>
      <c r="D106" s="72" t="s">
        <v>47</v>
      </c>
      <c r="E106" s="72" t="s">
        <v>44</v>
      </c>
      <c r="F106" s="72">
        <v>6</v>
      </c>
      <c r="G106" s="73" t="s">
        <v>243</v>
      </c>
      <c r="H106" s="72" t="s">
        <v>212</v>
      </c>
      <c r="I106" s="72" t="s">
        <v>161</v>
      </c>
      <c r="J106" s="72">
        <v>1</v>
      </c>
      <c r="K106" s="72">
        <v>1000</v>
      </c>
      <c r="L106" s="72">
        <v>0.4</v>
      </c>
      <c r="M106" s="72">
        <v>2</v>
      </c>
      <c r="N106" s="72">
        <v>0.8</v>
      </c>
      <c r="O106" s="72" t="s">
        <v>163</v>
      </c>
      <c r="S106" s="72">
        <f t="shared" si="6"/>
        <v>106</v>
      </c>
      <c r="Z106" s="72">
        <v>1</v>
      </c>
      <c r="AA106" s="72">
        <v>0</v>
      </c>
      <c r="AB106" s="72" t="str">
        <f t="shared" si="7"/>
        <v>F</v>
      </c>
      <c r="AC106" s="72" t="str">
        <f t="shared" si="8"/>
        <v>Num. di Piani Interrati
INSERIRE VALORE
INSERIRE VALORE</v>
      </c>
      <c r="AF106" s="72" t="str">
        <f t="shared" si="9"/>
        <v>Num. di Piani Interrati
INSERIRE VALORE
INSERIRE VALORE</v>
      </c>
    </row>
    <row r="107" spans="3:32" ht="15">
      <c r="C107" s="72">
        <f t="shared" si="5"/>
        <v>107</v>
      </c>
      <c r="G107" s="72" t="s">
        <v>239</v>
      </c>
      <c r="H107" s="72">
        <v>0</v>
      </c>
      <c r="I107" s="72" t="s">
        <v>162</v>
      </c>
      <c r="J107" s="72">
        <v>0.6</v>
      </c>
      <c r="S107" s="72">
        <f t="shared" si="6"/>
        <v>107</v>
      </c>
      <c r="Z107" s="72">
        <v>1</v>
      </c>
      <c r="AA107" s="72">
        <v>0</v>
      </c>
      <c r="AB107" s="72">
        <f t="shared" si="7"/>
        <v>0</v>
      </c>
      <c r="AC107" s="72" t="str">
        <f t="shared" si="8"/>
        <v>
INSERIRE VALORE</v>
      </c>
      <c r="AF107" s="72">
        <f t="shared" si="9"/>
      </c>
    </row>
    <row r="108" spans="1:32" ht="15">
      <c r="A108" s="72">
        <v>76</v>
      </c>
      <c r="B108" s="72" t="s">
        <v>164</v>
      </c>
      <c r="C108" s="72">
        <f t="shared" si="5"/>
        <v>108</v>
      </c>
      <c r="D108" s="72" t="s">
        <v>47</v>
      </c>
      <c r="E108" s="72" t="s">
        <v>44</v>
      </c>
      <c r="F108" s="72">
        <v>6</v>
      </c>
      <c r="G108" s="110" t="s">
        <v>37</v>
      </c>
      <c r="H108" s="72">
        <v>1</v>
      </c>
      <c r="I108" s="110" t="s">
        <v>37</v>
      </c>
      <c r="J108" s="72">
        <v>1</v>
      </c>
      <c r="K108" s="72">
        <v>1000</v>
      </c>
      <c r="L108" s="72">
        <v>0.1</v>
      </c>
      <c r="S108" s="72">
        <f t="shared" si="6"/>
        <v>108</v>
      </c>
      <c r="Z108" s="72">
        <v>0</v>
      </c>
      <c r="AA108" s="72">
        <v>0</v>
      </c>
      <c r="AB108" s="72">
        <f t="shared" si="7"/>
        <v>1</v>
      </c>
      <c r="AC108" s="72" t="str">
        <f t="shared" si="8"/>
        <v>Non Def.</v>
      </c>
      <c r="AF108" s="72" t="str">
        <f t="shared" si="9"/>
        <v>Non Def.</v>
      </c>
    </row>
    <row r="109" spans="1:32" ht="15">
      <c r="A109" s="72">
        <v>77</v>
      </c>
      <c r="B109" s="72" t="s">
        <v>165</v>
      </c>
      <c r="C109" s="72">
        <f t="shared" si="5"/>
        <v>109</v>
      </c>
      <c r="D109" s="72" t="s">
        <v>166</v>
      </c>
      <c r="E109" s="72" t="s">
        <v>48</v>
      </c>
      <c r="F109" s="72">
        <v>6</v>
      </c>
      <c r="G109" s="72" t="s">
        <v>242</v>
      </c>
      <c r="H109" s="72" t="s">
        <v>212</v>
      </c>
      <c r="I109" s="110" t="s">
        <v>37</v>
      </c>
      <c r="J109" s="72">
        <v>1</v>
      </c>
      <c r="K109" s="72">
        <v>60</v>
      </c>
      <c r="L109" s="72">
        <v>0.3</v>
      </c>
      <c r="M109" s="72">
        <v>2</v>
      </c>
      <c r="N109" s="72">
        <v>1</v>
      </c>
      <c r="O109" s="72" t="s">
        <v>163</v>
      </c>
      <c r="S109" s="72">
        <f t="shared" si="6"/>
        <v>109</v>
      </c>
      <c r="Z109" s="72">
        <v>1</v>
      </c>
      <c r="AA109" s="72">
        <v>0</v>
      </c>
      <c r="AB109" s="72" t="str">
        <f t="shared" si="7"/>
        <v>F</v>
      </c>
      <c r="AC109" s="72" t="str">
        <f t="shared" si="8"/>
        <v>Numero Scale
INSERIRE VALORE
INSERIRE VALORE</v>
      </c>
      <c r="AF109" s="72" t="str">
        <f t="shared" si="9"/>
        <v>Numero Scale
INSERIRE VALORE
INSERIRE VALORE</v>
      </c>
    </row>
    <row r="110" spans="1:32" ht="15">
      <c r="A110" s="72">
        <v>78</v>
      </c>
      <c r="B110" s="72" t="s">
        <v>167</v>
      </c>
      <c r="C110" s="72">
        <f t="shared" si="5"/>
        <v>110</v>
      </c>
      <c r="D110" s="72" t="s">
        <v>168</v>
      </c>
      <c r="E110" s="72" t="s">
        <v>44</v>
      </c>
      <c r="F110" s="72">
        <v>8</v>
      </c>
      <c r="G110" s="72" t="s">
        <v>170</v>
      </c>
      <c r="H110" s="72">
        <v>3</v>
      </c>
      <c r="I110" s="110" t="s">
        <v>37</v>
      </c>
      <c r="J110" s="72">
        <v>1</v>
      </c>
      <c r="K110" s="72">
        <v>5000</v>
      </c>
      <c r="L110" s="72">
        <v>0.4</v>
      </c>
      <c r="S110" s="72">
        <f t="shared" si="6"/>
        <v>110</v>
      </c>
      <c r="Z110" s="72">
        <v>0</v>
      </c>
      <c r="AA110" s="72">
        <v>0</v>
      </c>
      <c r="AB110" s="72">
        <f t="shared" si="7"/>
        <v>3</v>
      </c>
      <c r="AC110" s="72" t="str">
        <f t="shared" si="8"/>
        <v>Aerostazione</v>
      </c>
      <c r="AF110" s="72" t="str">
        <f t="shared" si="9"/>
        <v>Aerostazione</v>
      </c>
    </row>
    <row r="111" spans="3:32" ht="15">
      <c r="C111" s="72">
        <f t="shared" si="5"/>
        <v>111</v>
      </c>
      <c r="D111" s="72" t="s">
        <v>169</v>
      </c>
      <c r="E111" s="72" t="s">
        <v>40</v>
      </c>
      <c r="F111" s="72">
        <v>40000</v>
      </c>
      <c r="G111" s="72" t="s">
        <v>171</v>
      </c>
      <c r="H111" s="72">
        <v>1</v>
      </c>
      <c r="S111" s="72">
        <f t="shared" si="6"/>
        <v>111</v>
      </c>
      <c r="Z111" s="72">
        <v>0</v>
      </c>
      <c r="AA111" s="72">
        <v>0</v>
      </c>
      <c r="AB111" s="72">
        <f t="shared" si="7"/>
        <v>1</v>
      </c>
      <c r="AC111" s="72" t="str">
        <f t="shared" si="8"/>
        <v>Stazione Ferroviaria</v>
      </c>
      <c r="AF111" s="72" t="str">
        <f t="shared" si="9"/>
        <v>Stazione Ferroviaria</v>
      </c>
    </row>
    <row r="112" spans="1:32" ht="15">
      <c r="A112" s="72">
        <v>79</v>
      </c>
      <c r="B112" s="72" t="s">
        <v>172</v>
      </c>
      <c r="C112" s="72">
        <f t="shared" si="5"/>
        <v>112</v>
      </c>
      <c r="D112" s="72" t="s">
        <v>47</v>
      </c>
      <c r="E112" s="72" t="s">
        <v>44</v>
      </c>
      <c r="F112" s="72">
        <v>4</v>
      </c>
      <c r="G112" s="110" t="s">
        <v>37</v>
      </c>
      <c r="H112" s="72">
        <v>1</v>
      </c>
      <c r="I112" s="110" t="s">
        <v>37</v>
      </c>
      <c r="J112" s="72">
        <v>1</v>
      </c>
      <c r="K112" s="72">
        <v>20000</v>
      </c>
      <c r="L112" s="72">
        <v>0.1</v>
      </c>
      <c r="S112" s="72">
        <f t="shared" si="6"/>
        <v>112</v>
      </c>
      <c r="Z112" s="72">
        <v>0</v>
      </c>
      <c r="AA112" s="72">
        <v>0</v>
      </c>
      <c r="AB112" s="72">
        <f t="shared" si="7"/>
        <v>1</v>
      </c>
      <c r="AC112" s="72" t="str">
        <f t="shared" si="8"/>
        <v>Non Def.</v>
      </c>
      <c r="AF112" s="72" t="str">
        <f t="shared" si="9"/>
        <v>Non Def.</v>
      </c>
    </row>
    <row r="113" spans="1:32" ht="15">
      <c r="A113" s="72">
        <v>80</v>
      </c>
      <c r="B113" s="72" t="s">
        <v>173</v>
      </c>
      <c r="C113" s="72">
        <f t="shared" si="5"/>
        <v>113</v>
      </c>
      <c r="D113" s="72" t="s">
        <v>174</v>
      </c>
      <c r="E113" s="72" t="s">
        <v>48</v>
      </c>
      <c r="F113" s="72">
        <v>100</v>
      </c>
      <c r="G113" s="72" t="s">
        <v>175</v>
      </c>
      <c r="H113" s="72">
        <v>3</v>
      </c>
      <c r="I113" s="110" t="s">
        <v>37</v>
      </c>
      <c r="J113" s="72">
        <v>1</v>
      </c>
      <c r="S113" s="72">
        <f>+C113</f>
        <v>113</v>
      </c>
      <c r="Z113" s="72">
        <v>0</v>
      </c>
      <c r="AA113" s="72">
        <v>0</v>
      </c>
      <c r="AB113" s="72">
        <f t="shared" si="7"/>
        <v>3</v>
      </c>
      <c r="AC113" s="72" t="str">
        <f t="shared" si="8"/>
        <v>Autostradale</v>
      </c>
      <c r="AF113" s="72" t="str">
        <f t="shared" si="9"/>
        <v>Autostradale</v>
      </c>
    </row>
    <row r="114" spans="3:32" ht="15">
      <c r="C114" s="72">
        <f t="shared" si="5"/>
        <v>114</v>
      </c>
      <c r="G114" s="72" t="s">
        <v>176</v>
      </c>
      <c r="H114" s="72">
        <v>1</v>
      </c>
      <c r="S114" s="72">
        <f>+C114</f>
        <v>114</v>
      </c>
      <c r="Z114" s="72">
        <v>0</v>
      </c>
      <c r="AA114" s="72">
        <v>0</v>
      </c>
      <c r="AB114" s="72">
        <f t="shared" si="7"/>
        <v>1</v>
      </c>
      <c r="AC114" s="72" t="str">
        <f t="shared" si="8"/>
        <v>Ferroviaria</v>
      </c>
      <c r="AF114" s="72" t="str">
        <f t="shared" si="9"/>
        <v>Ferroviaria</v>
      </c>
    </row>
    <row r="115" ht="15">
      <c r="C115" s="72">
        <f t="shared" si="5"/>
        <v>115</v>
      </c>
    </row>
  </sheetData>
  <sheetProtection/>
  <dataValidations count="2">
    <dataValidation type="list" allowBlank="1" showErrorMessage="1" sqref="X2:X5">
      <formula1>$AE$2:$AG$2</formula1>
    </dataValidation>
    <dataValidation type="list" allowBlank="1" showErrorMessage="1" sqref="W2:W5">
      <formula1>$AE$2:$AF$2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AJ113"/>
  <sheetViews>
    <sheetView zoomScalePageLayoutView="0" workbookViewId="0" topLeftCell="A94">
      <selection activeCell="A3" sqref="A3:B4"/>
    </sheetView>
  </sheetViews>
  <sheetFormatPr defaultColWidth="9.140625" defaultRowHeight="15"/>
  <cols>
    <col min="1" max="1" width="6.57421875" style="56" customWidth="1"/>
    <col min="2" max="2" width="61.28125" style="58" customWidth="1"/>
    <col min="3" max="3" width="10.7109375" style="57" hidden="1" customWidth="1"/>
    <col min="4" max="4" width="12.421875" style="169" customWidth="1"/>
    <col min="5" max="5" width="6.57421875" style="56" bestFit="1" customWidth="1"/>
    <col min="6" max="6" width="6.00390625" style="59" bestFit="1" customWidth="1"/>
    <col min="7" max="7" width="6.57421875" style="59" bestFit="1" customWidth="1"/>
    <col min="8" max="8" width="4.28125" style="61" bestFit="1" customWidth="1"/>
    <col min="9" max="9" width="12.8515625" style="169" customWidth="1"/>
    <col min="10" max="10" width="12.8515625" style="56" bestFit="1" customWidth="1"/>
    <col min="11" max="11" width="16.7109375" style="60" customWidth="1"/>
    <col min="12" max="12" width="12.421875" style="58" customWidth="1"/>
    <col min="13" max="14" width="9.140625" style="7" customWidth="1"/>
    <col min="15" max="16" width="12.8515625" style="7" customWidth="1"/>
    <col min="17" max="17" width="19.8515625" style="7" hidden="1" customWidth="1"/>
    <col min="18" max="24" width="0" style="7" hidden="1" customWidth="1"/>
    <col min="25" max="25" width="13.421875" style="7" hidden="1" customWidth="1"/>
    <col min="26" max="26" width="13.421875" style="7" customWidth="1"/>
    <col min="27" max="16384" width="9.140625" style="7" customWidth="1"/>
  </cols>
  <sheetData>
    <row r="1" spans="1:12" ht="15">
      <c r="A1" s="307" t="s">
        <v>288</v>
      </c>
      <c r="B1" s="225" t="s">
        <v>270</v>
      </c>
      <c r="C1" s="113"/>
      <c r="D1" s="309" t="s">
        <v>286</v>
      </c>
      <c r="E1" s="310"/>
      <c r="F1" s="310"/>
      <c r="G1" s="310"/>
      <c r="H1" s="311"/>
      <c r="I1" s="309" t="s">
        <v>315</v>
      </c>
      <c r="J1" s="311"/>
      <c r="K1" s="317" t="s">
        <v>316</v>
      </c>
      <c r="L1" s="318"/>
    </row>
    <row r="2" spans="1:36" s="53" customFormat="1" ht="25.5" customHeight="1" thickBot="1">
      <c r="A2" s="308"/>
      <c r="B2" s="226"/>
      <c r="C2" s="114" t="s">
        <v>13</v>
      </c>
      <c r="D2" s="161" t="s">
        <v>272</v>
      </c>
      <c r="E2" s="115" t="s">
        <v>14</v>
      </c>
      <c r="F2" s="115" t="s">
        <v>271</v>
      </c>
      <c r="G2" s="115" t="s">
        <v>31</v>
      </c>
      <c r="H2" s="116" t="s">
        <v>287</v>
      </c>
      <c r="I2" s="161" t="s">
        <v>272</v>
      </c>
      <c r="J2" s="118" t="s">
        <v>199</v>
      </c>
      <c r="K2" s="117" t="s">
        <v>272</v>
      </c>
      <c r="L2" s="119" t="s">
        <v>199</v>
      </c>
      <c r="O2" s="53" t="s">
        <v>213</v>
      </c>
      <c r="P2" s="53" t="s">
        <v>214</v>
      </c>
      <c r="V2" s="54" t="s">
        <v>21</v>
      </c>
      <c r="AB2" s="53" t="s">
        <v>235</v>
      </c>
      <c r="AC2" s="53" t="s">
        <v>236</v>
      </c>
      <c r="AD2" s="53" t="s">
        <v>212</v>
      </c>
      <c r="AG2" s="53" t="s">
        <v>7</v>
      </c>
      <c r="AJ2" s="53" t="s">
        <v>8</v>
      </c>
    </row>
    <row r="3" spans="1:34" ht="22.5">
      <c r="A3" s="304">
        <v>1</v>
      </c>
      <c r="B3" s="315" t="s">
        <v>28</v>
      </c>
      <c r="C3" s="120">
        <f>+ROW(A3)</f>
        <v>3</v>
      </c>
      <c r="D3" s="162" t="s">
        <v>247</v>
      </c>
      <c r="E3" s="121" t="s">
        <v>44</v>
      </c>
      <c r="F3" s="122">
        <v>6</v>
      </c>
      <c r="G3" s="122">
        <v>1000</v>
      </c>
      <c r="H3" s="123">
        <v>0.2</v>
      </c>
      <c r="I3" s="162" t="s">
        <v>5</v>
      </c>
      <c r="J3" s="155">
        <v>2</v>
      </c>
      <c r="K3" s="124" t="s">
        <v>4</v>
      </c>
      <c r="L3" s="125">
        <v>3</v>
      </c>
      <c r="U3" s="7">
        <f aca="true" t="shared" si="0" ref="U3:U64">+C3</f>
        <v>3</v>
      </c>
      <c r="V3" s="9" t="s">
        <v>20</v>
      </c>
      <c r="AB3" s="7">
        <v>0</v>
      </c>
      <c r="AC3" s="7">
        <v>0</v>
      </c>
      <c r="AD3" s="7">
        <f>+IF(O3="",J3,"F")</f>
        <v>2</v>
      </c>
      <c r="AE3" s="7" t="str">
        <f aca="true" t="shared" si="1" ref="AE3:AE32">+IF(AB3=1,I3&amp;CHAR(10)&amp;"",I3)</f>
        <v>Infiammabile</v>
      </c>
      <c r="AG3" s="7" t="e">
        <f>+VLOOKUP($X3,A3:T21,8)</f>
        <v>#N/A</v>
      </c>
      <c r="AH3" s="7" t="str">
        <f>+IF(I3="","",AE3)</f>
        <v>Infiammabile</v>
      </c>
    </row>
    <row r="4" spans="1:34" ht="22.5">
      <c r="A4" s="304"/>
      <c r="B4" s="315"/>
      <c r="C4" s="120">
        <f>+ROW(A4)</f>
        <v>4</v>
      </c>
      <c r="D4" s="144" t="s">
        <v>248</v>
      </c>
      <c r="E4" s="126" t="s">
        <v>201</v>
      </c>
      <c r="F4" s="127">
        <v>100</v>
      </c>
      <c r="G4" s="262"/>
      <c r="H4" s="263"/>
      <c r="I4" s="144" t="s">
        <v>6</v>
      </c>
      <c r="J4" s="156">
        <v>1</v>
      </c>
      <c r="K4" s="128" t="s">
        <v>9</v>
      </c>
      <c r="L4" s="129">
        <v>1</v>
      </c>
      <c r="U4" s="7">
        <f t="shared" si="0"/>
        <v>4</v>
      </c>
      <c r="AB4" s="7">
        <v>0</v>
      </c>
      <c r="AC4" s="7">
        <v>0</v>
      </c>
      <c r="AD4" s="7">
        <f aca="true" t="shared" si="2" ref="AD4:AD64">+IF(O4="",J4,"F")</f>
        <v>1</v>
      </c>
      <c r="AE4" s="7" t="str">
        <f t="shared" si="1"/>
        <v>Comburente</v>
      </c>
      <c r="AH4" s="7" t="str">
        <f aca="true" t="shared" si="3" ref="AH4:AH64">+IF(I4="","",AE4)</f>
        <v>Comburente</v>
      </c>
    </row>
    <row r="5" spans="1:34" ht="15">
      <c r="A5" s="319">
        <v>2</v>
      </c>
      <c r="B5" s="314" t="s">
        <v>29</v>
      </c>
      <c r="C5" s="130">
        <f aca="true" t="shared" si="4" ref="C5:C65">+ROW(A5)</f>
        <v>5</v>
      </c>
      <c r="D5" s="153" t="s">
        <v>249</v>
      </c>
      <c r="E5" s="131" t="s">
        <v>44</v>
      </c>
      <c r="F5" s="132">
        <v>6</v>
      </c>
      <c r="G5" s="132">
        <v>1000</v>
      </c>
      <c r="H5" s="133">
        <v>0.2</v>
      </c>
      <c r="I5" s="153" t="s">
        <v>5</v>
      </c>
      <c r="J5" s="157">
        <v>2</v>
      </c>
      <c r="K5" s="134" t="s">
        <v>4</v>
      </c>
      <c r="L5" s="135">
        <v>3</v>
      </c>
      <c r="U5" s="7">
        <f t="shared" si="0"/>
        <v>5</v>
      </c>
      <c r="AB5" s="7">
        <v>0</v>
      </c>
      <c r="AC5" s="7">
        <v>0</v>
      </c>
      <c r="AD5" s="7">
        <f t="shared" si="2"/>
        <v>2</v>
      </c>
      <c r="AE5" s="7" t="str">
        <f t="shared" si="1"/>
        <v>Infiammabile</v>
      </c>
      <c r="AH5" s="7" t="str">
        <f t="shared" si="3"/>
        <v>Infiammabile</v>
      </c>
    </row>
    <row r="6" spans="1:34" ht="22.5">
      <c r="A6" s="320"/>
      <c r="B6" s="314"/>
      <c r="C6" s="130">
        <f t="shared" si="4"/>
        <v>6</v>
      </c>
      <c r="D6" s="153" t="s">
        <v>248</v>
      </c>
      <c r="E6" s="131" t="s">
        <v>201</v>
      </c>
      <c r="F6" s="132">
        <v>4</v>
      </c>
      <c r="G6" s="276"/>
      <c r="H6" s="277"/>
      <c r="I6" s="153" t="s">
        <v>6</v>
      </c>
      <c r="J6" s="157">
        <v>1</v>
      </c>
      <c r="K6" s="134" t="s">
        <v>9</v>
      </c>
      <c r="L6" s="135">
        <v>1</v>
      </c>
      <c r="U6" s="7">
        <f t="shared" si="0"/>
        <v>6</v>
      </c>
      <c r="AB6" s="7">
        <v>0</v>
      </c>
      <c r="AC6" s="7">
        <v>0</v>
      </c>
      <c r="AD6" s="7">
        <f t="shared" si="2"/>
        <v>1</v>
      </c>
      <c r="AE6" s="7" t="str">
        <f t="shared" si="1"/>
        <v>Comburente</v>
      </c>
      <c r="AH6" s="7" t="str">
        <f t="shared" si="3"/>
        <v>Comburente</v>
      </c>
    </row>
    <row r="7" spans="1:34" ht="15">
      <c r="A7" s="304">
        <v>3</v>
      </c>
      <c r="B7" s="315" t="s">
        <v>30</v>
      </c>
      <c r="C7" s="120">
        <f t="shared" si="4"/>
        <v>7</v>
      </c>
      <c r="D7" s="283" t="s">
        <v>47</v>
      </c>
      <c r="E7" s="284" t="s">
        <v>44</v>
      </c>
      <c r="F7" s="285">
        <v>6</v>
      </c>
      <c r="G7" s="285">
        <v>200</v>
      </c>
      <c r="H7" s="286">
        <v>0.1</v>
      </c>
      <c r="I7" s="144" t="s">
        <v>33</v>
      </c>
      <c r="J7" s="156">
        <v>1</v>
      </c>
      <c r="K7" s="128" t="s">
        <v>4</v>
      </c>
      <c r="L7" s="129">
        <v>3</v>
      </c>
      <c r="U7" s="7">
        <f t="shared" si="0"/>
        <v>7</v>
      </c>
      <c r="AB7" s="7">
        <v>0</v>
      </c>
      <c r="AC7" s="7">
        <v>0</v>
      </c>
      <c r="AD7" s="7">
        <f t="shared" si="2"/>
        <v>1</v>
      </c>
      <c r="AE7" s="7" t="str">
        <f t="shared" si="1"/>
        <v>Solo Deposito</v>
      </c>
      <c r="AH7" s="7" t="str">
        <f t="shared" si="3"/>
        <v>Solo Deposito</v>
      </c>
    </row>
    <row r="8" spans="1:34" ht="22.5">
      <c r="A8" s="304"/>
      <c r="B8" s="315"/>
      <c r="C8" s="120">
        <f t="shared" si="4"/>
        <v>8</v>
      </c>
      <c r="D8" s="283"/>
      <c r="E8" s="284"/>
      <c r="F8" s="285"/>
      <c r="G8" s="285"/>
      <c r="H8" s="286"/>
      <c r="I8" s="144" t="s">
        <v>34</v>
      </c>
      <c r="J8" s="156">
        <v>1.2</v>
      </c>
      <c r="K8" s="128" t="s">
        <v>9</v>
      </c>
      <c r="L8" s="129">
        <v>1</v>
      </c>
      <c r="U8" s="7">
        <f t="shared" si="0"/>
        <v>8</v>
      </c>
      <c r="AB8" s="7">
        <v>0</v>
      </c>
      <c r="AC8" s="7">
        <v>0</v>
      </c>
      <c r="AD8" s="7">
        <f t="shared" si="2"/>
        <v>1.2</v>
      </c>
      <c r="AE8" s="7" t="str">
        <f t="shared" si="1"/>
        <v>Deposito e rivendita</v>
      </c>
      <c r="AH8" s="7" t="str">
        <f t="shared" si="3"/>
        <v>Deposito e rivendita</v>
      </c>
    </row>
    <row r="9" spans="1:34" ht="15">
      <c r="A9" s="305">
        <v>4</v>
      </c>
      <c r="B9" s="314" t="s">
        <v>35</v>
      </c>
      <c r="C9" s="130">
        <f t="shared" si="4"/>
        <v>9</v>
      </c>
      <c r="D9" s="259" t="s">
        <v>53</v>
      </c>
      <c r="E9" s="260" t="s">
        <v>54</v>
      </c>
      <c r="F9" s="261">
        <v>300</v>
      </c>
      <c r="G9" s="261">
        <v>200</v>
      </c>
      <c r="H9" s="287">
        <v>0.1</v>
      </c>
      <c r="I9" s="153" t="s">
        <v>33</v>
      </c>
      <c r="J9" s="157">
        <v>1</v>
      </c>
      <c r="K9" s="134" t="s">
        <v>4</v>
      </c>
      <c r="L9" s="135">
        <v>3</v>
      </c>
      <c r="U9" s="7">
        <f t="shared" si="0"/>
        <v>9</v>
      </c>
      <c r="AB9" s="7">
        <v>0</v>
      </c>
      <c r="AC9" s="7">
        <v>0</v>
      </c>
      <c r="AD9" s="7">
        <f t="shared" si="2"/>
        <v>1</v>
      </c>
      <c r="AE9" s="7" t="str">
        <f t="shared" si="1"/>
        <v>Solo Deposito</v>
      </c>
      <c r="AH9" s="7" t="str">
        <f t="shared" si="3"/>
        <v>Solo Deposito</v>
      </c>
    </row>
    <row r="10" spans="1:34" ht="22.5">
      <c r="A10" s="305"/>
      <c r="B10" s="314"/>
      <c r="C10" s="130">
        <f t="shared" si="4"/>
        <v>10</v>
      </c>
      <c r="D10" s="259"/>
      <c r="E10" s="260"/>
      <c r="F10" s="261"/>
      <c r="G10" s="261"/>
      <c r="H10" s="287"/>
      <c r="I10" s="153" t="s">
        <v>34</v>
      </c>
      <c r="J10" s="157">
        <v>1.2</v>
      </c>
      <c r="K10" s="134" t="s">
        <v>9</v>
      </c>
      <c r="L10" s="135">
        <v>1</v>
      </c>
      <c r="U10" s="7">
        <f t="shared" si="0"/>
        <v>10</v>
      </c>
      <c r="AB10" s="7">
        <v>0</v>
      </c>
      <c r="AC10" s="7">
        <v>0</v>
      </c>
      <c r="AD10" s="7">
        <f t="shared" si="2"/>
        <v>1.2</v>
      </c>
      <c r="AE10" s="7" t="str">
        <f t="shared" si="1"/>
        <v>Deposito e rivendita</v>
      </c>
      <c r="AH10" s="7" t="str">
        <f t="shared" si="3"/>
        <v>Deposito e rivendita</v>
      </c>
    </row>
    <row r="11" spans="1:34" ht="15">
      <c r="A11" s="312">
        <v>5</v>
      </c>
      <c r="B11" s="315" t="s">
        <v>375</v>
      </c>
      <c r="C11" s="120">
        <f t="shared" si="4"/>
        <v>11</v>
      </c>
      <c r="D11" s="283" t="s">
        <v>41</v>
      </c>
      <c r="E11" s="284" t="s">
        <v>54</v>
      </c>
      <c r="F11" s="285">
        <v>300</v>
      </c>
      <c r="G11" s="285">
        <v>200</v>
      </c>
      <c r="H11" s="286">
        <v>0.1</v>
      </c>
      <c r="I11" s="144" t="s">
        <v>4</v>
      </c>
      <c r="J11" s="156">
        <v>3</v>
      </c>
      <c r="K11" s="235"/>
      <c r="L11" s="236"/>
      <c r="U11" s="7">
        <f t="shared" si="0"/>
        <v>11</v>
      </c>
      <c r="AB11" s="7">
        <v>0</v>
      </c>
      <c r="AC11" s="7">
        <v>0</v>
      </c>
      <c r="AD11" s="7">
        <f t="shared" si="2"/>
        <v>3</v>
      </c>
      <c r="AE11" s="7" t="str">
        <f t="shared" si="1"/>
        <v>Direttiva Seveso</v>
      </c>
      <c r="AH11" s="7" t="str">
        <f t="shared" si="3"/>
        <v>Direttiva Seveso</v>
      </c>
    </row>
    <row r="12" spans="1:34" ht="22.5">
      <c r="A12" s="313"/>
      <c r="B12" s="316"/>
      <c r="C12" s="136">
        <f t="shared" si="4"/>
        <v>12</v>
      </c>
      <c r="D12" s="283"/>
      <c r="E12" s="284"/>
      <c r="F12" s="285"/>
      <c r="G12" s="285"/>
      <c r="H12" s="286"/>
      <c r="I12" s="163" t="s">
        <v>9</v>
      </c>
      <c r="J12" s="158">
        <v>1</v>
      </c>
      <c r="K12" s="237"/>
      <c r="L12" s="238"/>
      <c r="U12" s="7">
        <f t="shared" si="0"/>
        <v>12</v>
      </c>
      <c r="AB12" s="7">
        <v>0</v>
      </c>
      <c r="AC12" s="7">
        <v>0</v>
      </c>
      <c r="AD12" s="7">
        <f t="shared" si="2"/>
        <v>1</v>
      </c>
      <c r="AE12" s="7" t="str">
        <f t="shared" si="1"/>
        <v>Non Direttiva Seveso</v>
      </c>
      <c r="AH12" s="7" t="str">
        <f t="shared" si="3"/>
        <v>Non Direttiva Seveso</v>
      </c>
    </row>
    <row r="13" spans="1:34" ht="42.75" customHeight="1">
      <c r="A13" s="137">
        <v>6</v>
      </c>
      <c r="B13" s="170" t="s">
        <v>38</v>
      </c>
      <c r="C13" s="130">
        <f t="shared" si="4"/>
        <v>13</v>
      </c>
      <c r="D13" s="230" t="s">
        <v>370</v>
      </c>
      <c r="E13" s="231"/>
      <c r="F13" s="231"/>
      <c r="G13" s="231"/>
      <c r="H13" s="231"/>
      <c r="I13" s="231"/>
      <c r="J13" s="231"/>
      <c r="K13" s="231"/>
      <c r="L13" s="232"/>
      <c r="U13" s="7">
        <f t="shared" si="0"/>
        <v>13</v>
      </c>
      <c r="AB13" s="7">
        <v>0</v>
      </c>
      <c r="AC13" s="7">
        <v>0</v>
      </c>
      <c r="AD13" s="7">
        <f t="shared" si="2"/>
        <v>0</v>
      </c>
      <c r="AE13" s="7">
        <f t="shared" si="1"/>
        <v>0</v>
      </c>
      <c r="AH13" s="7">
        <f t="shared" si="3"/>
      </c>
    </row>
    <row r="14" spans="1:34" ht="45.75">
      <c r="A14" s="138">
        <v>7</v>
      </c>
      <c r="B14" s="171" t="s">
        <v>42</v>
      </c>
      <c r="C14" s="120">
        <f t="shared" si="4"/>
        <v>14</v>
      </c>
      <c r="D14" s="227" t="s">
        <v>370</v>
      </c>
      <c r="E14" s="228"/>
      <c r="F14" s="228"/>
      <c r="G14" s="228"/>
      <c r="H14" s="228"/>
      <c r="I14" s="228"/>
      <c r="J14" s="228"/>
      <c r="K14" s="228"/>
      <c r="L14" s="229"/>
      <c r="U14" s="7">
        <f t="shared" si="0"/>
        <v>14</v>
      </c>
      <c r="AB14" s="7">
        <v>0</v>
      </c>
      <c r="AC14" s="7">
        <v>0</v>
      </c>
      <c r="AD14" s="7">
        <f t="shared" si="2"/>
        <v>0</v>
      </c>
      <c r="AE14" s="7">
        <f t="shared" si="1"/>
        <v>0</v>
      </c>
      <c r="AH14" s="7">
        <f t="shared" si="3"/>
      </c>
    </row>
    <row r="15" spans="1:34" ht="15">
      <c r="A15" s="137">
        <v>8</v>
      </c>
      <c r="B15" s="170" t="s">
        <v>45</v>
      </c>
      <c r="C15" s="130">
        <f t="shared" si="4"/>
        <v>15</v>
      </c>
      <c r="D15" s="230" t="s">
        <v>370</v>
      </c>
      <c r="E15" s="231"/>
      <c r="F15" s="231"/>
      <c r="G15" s="231"/>
      <c r="H15" s="231"/>
      <c r="I15" s="231"/>
      <c r="J15" s="231"/>
      <c r="K15" s="231"/>
      <c r="L15" s="232"/>
      <c r="Q15" s="7" t="e">
        <f ca="1">+VLOOKUP(H15,INDIRECT(G15),2,FALSE)</f>
        <v>#REF!</v>
      </c>
      <c r="U15" s="7">
        <f t="shared" si="0"/>
        <v>15</v>
      </c>
      <c r="AB15" s="7">
        <v>0</v>
      </c>
      <c r="AC15" s="7">
        <v>0</v>
      </c>
      <c r="AD15" s="7">
        <f t="shared" si="2"/>
        <v>0</v>
      </c>
      <c r="AE15" s="7">
        <f t="shared" si="1"/>
        <v>0</v>
      </c>
      <c r="AH15" s="7">
        <f t="shared" si="3"/>
      </c>
    </row>
    <row r="16" spans="1:34" ht="23.25">
      <c r="A16" s="138">
        <v>9</v>
      </c>
      <c r="B16" s="171" t="s">
        <v>46</v>
      </c>
      <c r="C16" s="120">
        <f t="shared" si="4"/>
        <v>16</v>
      </c>
      <c r="D16" s="144" t="s">
        <v>372</v>
      </c>
      <c r="E16" s="126" t="s">
        <v>40</v>
      </c>
      <c r="F16" s="127">
        <v>1000</v>
      </c>
      <c r="G16" s="262"/>
      <c r="H16" s="263"/>
      <c r="I16" s="302"/>
      <c r="J16" s="303"/>
      <c r="K16" s="302"/>
      <c r="L16" s="303"/>
      <c r="U16" s="7">
        <f t="shared" si="0"/>
        <v>16</v>
      </c>
      <c r="AB16" s="7">
        <v>0</v>
      </c>
      <c r="AC16" s="7">
        <v>0</v>
      </c>
      <c r="AD16" s="7">
        <f t="shared" si="2"/>
        <v>0</v>
      </c>
      <c r="AE16" s="7">
        <f t="shared" si="1"/>
        <v>0</v>
      </c>
      <c r="AH16" s="7">
        <f t="shared" si="3"/>
      </c>
    </row>
    <row r="17" spans="1:34" ht="34.5">
      <c r="A17" s="139">
        <v>10</v>
      </c>
      <c r="B17" s="170" t="s">
        <v>49</v>
      </c>
      <c r="C17" s="130">
        <f t="shared" si="4"/>
        <v>17</v>
      </c>
      <c r="D17" s="230" t="s">
        <v>370</v>
      </c>
      <c r="E17" s="231"/>
      <c r="F17" s="231"/>
      <c r="G17" s="231"/>
      <c r="H17" s="231"/>
      <c r="I17" s="231"/>
      <c r="J17" s="231"/>
      <c r="K17" s="231"/>
      <c r="L17" s="232"/>
      <c r="U17" s="7">
        <f t="shared" si="0"/>
        <v>17</v>
      </c>
      <c r="AB17" s="7">
        <v>0</v>
      </c>
      <c r="AC17" s="7">
        <v>0</v>
      </c>
      <c r="AD17" s="7">
        <f t="shared" si="2"/>
        <v>0</v>
      </c>
      <c r="AE17" s="7">
        <f t="shared" si="1"/>
        <v>0</v>
      </c>
      <c r="AH17" s="7">
        <f t="shared" si="3"/>
      </c>
    </row>
    <row r="18" spans="1:34" ht="39" customHeight="1">
      <c r="A18" s="140">
        <v>11</v>
      </c>
      <c r="B18" s="171" t="s">
        <v>50</v>
      </c>
      <c r="C18" s="120">
        <f t="shared" si="4"/>
        <v>18</v>
      </c>
      <c r="D18" s="227" t="s">
        <v>370</v>
      </c>
      <c r="E18" s="228"/>
      <c r="F18" s="228"/>
      <c r="G18" s="228"/>
      <c r="H18" s="228"/>
      <c r="I18" s="228"/>
      <c r="J18" s="228"/>
      <c r="K18" s="228"/>
      <c r="L18" s="229"/>
      <c r="U18" s="7">
        <f t="shared" si="0"/>
        <v>18</v>
      </c>
      <c r="AB18" s="7">
        <v>0</v>
      </c>
      <c r="AC18" s="7">
        <v>0</v>
      </c>
      <c r="AD18" s="7">
        <f t="shared" si="2"/>
        <v>0</v>
      </c>
      <c r="AE18" s="7">
        <f t="shared" si="1"/>
        <v>0</v>
      </c>
      <c r="AH18" s="7">
        <f t="shared" si="3"/>
      </c>
    </row>
    <row r="19" spans="1:34" ht="39" customHeight="1">
      <c r="A19" s="305">
        <v>12</v>
      </c>
      <c r="B19" s="223" t="s">
        <v>52</v>
      </c>
      <c r="C19" s="130">
        <f t="shared" si="4"/>
        <v>19</v>
      </c>
      <c r="D19" s="259" t="s">
        <v>53</v>
      </c>
      <c r="E19" s="260" t="s">
        <v>54</v>
      </c>
      <c r="F19" s="261">
        <v>150</v>
      </c>
      <c r="G19" s="261">
        <v>100</v>
      </c>
      <c r="H19" s="287">
        <v>0.1</v>
      </c>
      <c r="I19" s="153" t="s">
        <v>5</v>
      </c>
      <c r="J19" s="157">
        <v>1.5</v>
      </c>
      <c r="K19" s="134" t="s">
        <v>55</v>
      </c>
      <c r="L19" s="135">
        <v>1</v>
      </c>
      <c r="U19" s="7">
        <f t="shared" si="0"/>
        <v>19</v>
      </c>
      <c r="AB19" s="7">
        <v>0</v>
      </c>
      <c r="AC19" s="7">
        <v>0</v>
      </c>
      <c r="AD19" s="7">
        <f t="shared" si="2"/>
        <v>1.5</v>
      </c>
      <c r="AE19" s="7" t="str">
        <f t="shared" si="1"/>
        <v>Infiammabile</v>
      </c>
      <c r="AH19" s="7" t="str">
        <f t="shared" si="3"/>
        <v>Infiammabile</v>
      </c>
    </row>
    <row r="20" spans="1:34" ht="15">
      <c r="A20" s="305"/>
      <c r="B20" s="224"/>
      <c r="C20" s="130">
        <f t="shared" si="4"/>
        <v>20</v>
      </c>
      <c r="D20" s="259"/>
      <c r="E20" s="260"/>
      <c r="F20" s="261"/>
      <c r="G20" s="261"/>
      <c r="H20" s="287"/>
      <c r="I20" s="153" t="s">
        <v>51</v>
      </c>
      <c r="J20" s="157">
        <v>1</v>
      </c>
      <c r="K20" s="134" t="s">
        <v>56</v>
      </c>
      <c r="L20" s="135">
        <v>1.5</v>
      </c>
      <c r="U20" s="7">
        <f t="shared" si="0"/>
        <v>20</v>
      </c>
      <c r="AB20" s="7">
        <v>0</v>
      </c>
      <c r="AC20" s="7">
        <v>0</v>
      </c>
      <c r="AD20" s="7">
        <f t="shared" si="2"/>
        <v>1</v>
      </c>
      <c r="AE20" s="7" t="str">
        <f t="shared" si="1"/>
        <v>Combustibile</v>
      </c>
      <c r="AH20" s="7" t="str">
        <f t="shared" si="3"/>
        <v>Combustibile</v>
      </c>
    </row>
    <row r="21" spans="1:34" ht="51.75" customHeight="1">
      <c r="A21" s="304">
        <v>13</v>
      </c>
      <c r="B21" s="241" t="s">
        <v>57</v>
      </c>
      <c r="C21" s="120">
        <f t="shared" si="4"/>
        <v>21</v>
      </c>
      <c r="D21" s="283" t="s">
        <v>39</v>
      </c>
      <c r="E21" s="284" t="s">
        <v>40</v>
      </c>
      <c r="F21" s="285">
        <v>100</v>
      </c>
      <c r="G21" s="288"/>
      <c r="H21" s="289"/>
      <c r="I21" s="144" t="s">
        <v>5</v>
      </c>
      <c r="J21" s="156">
        <v>1.5</v>
      </c>
      <c r="K21" s="128" t="s">
        <v>58</v>
      </c>
      <c r="L21" s="129">
        <v>1</v>
      </c>
      <c r="U21" s="7">
        <f t="shared" si="0"/>
        <v>21</v>
      </c>
      <c r="AB21" s="7">
        <v>0</v>
      </c>
      <c r="AC21" s="7">
        <v>0</v>
      </c>
      <c r="AD21" s="7">
        <f t="shared" si="2"/>
        <v>1.5</v>
      </c>
      <c r="AE21" s="7" t="str">
        <f t="shared" si="1"/>
        <v>Infiammabile</v>
      </c>
      <c r="AH21" s="7" t="str">
        <f t="shared" si="3"/>
        <v>Infiammabile</v>
      </c>
    </row>
    <row r="22" spans="1:34" ht="15">
      <c r="A22" s="304"/>
      <c r="B22" s="242"/>
      <c r="C22" s="120">
        <f t="shared" si="4"/>
        <v>22</v>
      </c>
      <c r="D22" s="283"/>
      <c r="E22" s="284"/>
      <c r="F22" s="285"/>
      <c r="G22" s="290"/>
      <c r="H22" s="291"/>
      <c r="I22" s="144" t="s">
        <v>51</v>
      </c>
      <c r="J22" s="156">
        <v>1</v>
      </c>
      <c r="K22" s="128" t="s">
        <v>59</v>
      </c>
      <c r="L22" s="129">
        <v>1.5</v>
      </c>
      <c r="U22" s="7">
        <f t="shared" si="0"/>
        <v>22</v>
      </c>
      <c r="AB22" s="7">
        <v>0</v>
      </c>
      <c r="AC22" s="7">
        <v>0</v>
      </c>
      <c r="AD22" s="7">
        <f t="shared" si="2"/>
        <v>1</v>
      </c>
      <c r="AE22" s="7" t="str">
        <f t="shared" si="1"/>
        <v>Combustibile</v>
      </c>
      <c r="AH22" s="7" t="str">
        <f t="shared" si="3"/>
        <v>Combustibile</v>
      </c>
    </row>
    <row r="23" spans="1:34" ht="15">
      <c r="A23" s="305">
        <v>14</v>
      </c>
      <c r="B23" s="223" t="s">
        <v>60</v>
      </c>
      <c r="C23" s="130">
        <f t="shared" si="4"/>
        <v>23</v>
      </c>
      <c r="D23" s="259" t="s">
        <v>374</v>
      </c>
      <c r="E23" s="260" t="s">
        <v>40</v>
      </c>
      <c r="F23" s="261">
        <v>1000</v>
      </c>
      <c r="G23" s="249"/>
      <c r="H23" s="250"/>
      <c r="I23" s="253" t="s">
        <v>376</v>
      </c>
      <c r="J23" s="255" t="str">
        <f>+"X =("&amp;O23&amp;"Q-"&amp;P23&amp;")/Q)"</f>
        <v>X =(2Q-20)/Q)</v>
      </c>
      <c r="K23" s="264"/>
      <c r="L23" s="265"/>
      <c r="O23" s="7">
        <v>2</v>
      </c>
      <c r="P23" s="7">
        <v>20</v>
      </c>
      <c r="U23" s="7">
        <f t="shared" si="0"/>
        <v>23</v>
      </c>
      <c r="AB23" s="7">
        <v>0</v>
      </c>
      <c r="AC23" s="7">
        <v>0</v>
      </c>
      <c r="AD23" s="7" t="str">
        <f t="shared" si="2"/>
        <v>F</v>
      </c>
      <c r="AE23" s="7" t="str">
        <f t="shared" si="1"/>
        <v>Q.tà vernici giornaliera [kg] Q</v>
      </c>
      <c r="AH23" s="7" t="str">
        <f t="shared" si="3"/>
        <v>Q.tà vernici giornaliera [kg] Q</v>
      </c>
    </row>
    <row r="24" spans="1:34" ht="15">
      <c r="A24" s="305"/>
      <c r="B24" s="224"/>
      <c r="C24" s="130">
        <f t="shared" si="4"/>
        <v>24</v>
      </c>
      <c r="D24" s="259"/>
      <c r="E24" s="260"/>
      <c r="F24" s="261"/>
      <c r="G24" s="251"/>
      <c r="H24" s="252"/>
      <c r="I24" s="254"/>
      <c r="J24" s="256"/>
      <c r="K24" s="274"/>
      <c r="L24" s="275"/>
      <c r="U24" s="7">
        <f t="shared" si="0"/>
        <v>24</v>
      </c>
      <c r="AB24" s="7">
        <v>0</v>
      </c>
      <c r="AC24" s="7">
        <v>0</v>
      </c>
      <c r="AD24" s="7">
        <f t="shared" si="2"/>
        <v>0</v>
      </c>
      <c r="AE24" s="7">
        <f t="shared" si="1"/>
        <v>0</v>
      </c>
      <c r="AH24" s="7">
        <f t="shared" si="3"/>
      </c>
    </row>
    <row r="25" spans="1:34" ht="26.25" customHeight="1">
      <c r="A25" s="304">
        <v>15</v>
      </c>
      <c r="B25" s="241" t="s">
        <v>62</v>
      </c>
      <c r="C25" s="120">
        <f t="shared" si="4"/>
        <v>25</v>
      </c>
      <c r="D25" s="283" t="s">
        <v>53</v>
      </c>
      <c r="E25" s="284" t="s">
        <v>54</v>
      </c>
      <c r="F25" s="285">
        <v>150</v>
      </c>
      <c r="G25" s="285">
        <v>100</v>
      </c>
      <c r="H25" s="286">
        <v>0.1</v>
      </c>
      <c r="I25" s="144" t="s">
        <v>5</v>
      </c>
      <c r="J25" s="156">
        <v>1.5</v>
      </c>
      <c r="K25" s="128" t="s">
        <v>55</v>
      </c>
      <c r="L25" s="129">
        <v>1</v>
      </c>
      <c r="U25" s="7">
        <f t="shared" si="0"/>
        <v>25</v>
      </c>
      <c r="AB25" s="7">
        <v>0</v>
      </c>
      <c r="AC25" s="7">
        <v>0</v>
      </c>
      <c r="AD25" s="7">
        <f t="shared" si="2"/>
        <v>1.5</v>
      </c>
      <c r="AE25" s="7" t="str">
        <f t="shared" si="1"/>
        <v>Infiammabile</v>
      </c>
      <c r="AH25" s="7" t="str">
        <f t="shared" si="3"/>
        <v>Infiammabile</v>
      </c>
    </row>
    <row r="26" spans="1:34" ht="15">
      <c r="A26" s="304"/>
      <c r="B26" s="242"/>
      <c r="C26" s="120">
        <f t="shared" si="4"/>
        <v>26</v>
      </c>
      <c r="D26" s="283"/>
      <c r="E26" s="284"/>
      <c r="F26" s="285"/>
      <c r="G26" s="285"/>
      <c r="H26" s="286"/>
      <c r="I26" s="144" t="s">
        <v>51</v>
      </c>
      <c r="J26" s="156">
        <v>1</v>
      </c>
      <c r="K26" s="128" t="s">
        <v>56</v>
      </c>
      <c r="L26" s="129">
        <v>1.5</v>
      </c>
      <c r="U26" s="7">
        <f t="shared" si="0"/>
        <v>26</v>
      </c>
      <c r="AB26" s="7">
        <v>0</v>
      </c>
      <c r="AC26" s="7">
        <v>0</v>
      </c>
      <c r="AD26" s="7">
        <f t="shared" si="2"/>
        <v>1</v>
      </c>
      <c r="AE26" s="7" t="str">
        <f t="shared" si="1"/>
        <v>Combustibile</v>
      </c>
      <c r="AH26" s="7" t="str">
        <f t="shared" si="3"/>
        <v>Combustibile</v>
      </c>
    </row>
    <row r="27" spans="1:34" ht="34.5">
      <c r="A27" s="137">
        <v>16</v>
      </c>
      <c r="B27" s="170" t="s">
        <v>61</v>
      </c>
      <c r="C27" s="130">
        <f t="shared" si="4"/>
        <v>27</v>
      </c>
      <c r="D27" s="230" t="s">
        <v>370</v>
      </c>
      <c r="E27" s="231"/>
      <c r="F27" s="231"/>
      <c r="G27" s="231"/>
      <c r="H27" s="231"/>
      <c r="I27" s="231"/>
      <c r="J27" s="231"/>
      <c r="K27" s="231"/>
      <c r="L27" s="232"/>
      <c r="U27" s="7">
        <f t="shared" si="0"/>
        <v>27</v>
      </c>
      <c r="AB27" s="7">
        <v>0</v>
      </c>
      <c r="AC27" s="7">
        <v>0</v>
      </c>
      <c r="AD27" s="7">
        <f t="shared" si="2"/>
        <v>0</v>
      </c>
      <c r="AE27" s="7">
        <f t="shared" si="1"/>
        <v>0</v>
      </c>
      <c r="AH27" s="7">
        <f t="shared" si="3"/>
      </c>
    </row>
    <row r="28" spans="1:34" ht="45.75">
      <c r="A28" s="138">
        <v>17</v>
      </c>
      <c r="B28" s="171" t="s">
        <v>63</v>
      </c>
      <c r="C28" s="120">
        <f t="shared" si="4"/>
        <v>28</v>
      </c>
      <c r="D28" s="227" t="s">
        <v>370</v>
      </c>
      <c r="E28" s="228"/>
      <c r="F28" s="228"/>
      <c r="G28" s="228"/>
      <c r="H28" s="228"/>
      <c r="I28" s="228"/>
      <c r="J28" s="228"/>
      <c r="K28" s="228"/>
      <c r="L28" s="229"/>
      <c r="U28" s="7">
        <f t="shared" si="0"/>
        <v>28</v>
      </c>
      <c r="AB28" s="7">
        <v>0</v>
      </c>
      <c r="AC28" s="7">
        <v>0</v>
      </c>
      <c r="AD28" s="7">
        <f t="shared" si="2"/>
        <v>0</v>
      </c>
      <c r="AE28" s="7">
        <f t="shared" si="1"/>
        <v>0</v>
      </c>
      <c r="AH28" s="7">
        <f t="shared" si="3"/>
      </c>
    </row>
    <row r="29" spans="1:34" ht="43.5" customHeight="1">
      <c r="A29" s="305">
        <v>18</v>
      </c>
      <c r="B29" s="223" t="s">
        <v>64</v>
      </c>
      <c r="C29" s="130">
        <f t="shared" si="4"/>
        <v>29</v>
      </c>
      <c r="D29" s="259" t="s">
        <v>47</v>
      </c>
      <c r="E29" s="260" t="s">
        <v>44</v>
      </c>
      <c r="F29" s="261">
        <v>8</v>
      </c>
      <c r="G29" s="261">
        <v>1000</v>
      </c>
      <c r="H29" s="287">
        <v>0.3</v>
      </c>
      <c r="I29" s="164" t="s">
        <v>65</v>
      </c>
      <c r="J29" s="157">
        <v>1</v>
      </c>
      <c r="K29" s="264"/>
      <c r="L29" s="265"/>
      <c r="U29" s="7">
        <f t="shared" si="0"/>
        <v>29</v>
      </c>
      <c r="AB29" s="7">
        <v>0</v>
      </c>
      <c r="AC29" s="7">
        <v>0</v>
      </c>
      <c r="AD29" s="7">
        <f t="shared" si="2"/>
        <v>1</v>
      </c>
      <c r="AE29" s="7" t="str">
        <f t="shared" si="1"/>
        <v>Libera vendita</v>
      </c>
      <c r="AH29" s="7" t="str">
        <f t="shared" si="3"/>
        <v>Libera vendita</v>
      </c>
    </row>
    <row r="30" spans="1:34" ht="40.5" customHeight="1">
      <c r="A30" s="305"/>
      <c r="B30" s="224"/>
      <c r="C30" s="130">
        <f t="shared" si="4"/>
        <v>30</v>
      </c>
      <c r="D30" s="259"/>
      <c r="E30" s="260"/>
      <c r="F30" s="261"/>
      <c r="G30" s="261"/>
      <c r="H30" s="287"/>
      <c r="I30" s="153" t="s">
        <v>66</v>
      </c>
      <c r="J30" s="157">
        <v>2</v>
      </c>
      <c r="K30" s="274"/>
      <c r="L30" s="275"/>
      <c r="U30" s="7">
        <f t="shared" si="0"/>
        <v>30</v>
      </c>
      <c r="AB30" s="7">
        <v>0</v>
      </c>
      <c r="AC30" s="7">
        <v>0</v>
      </c>
      <c r="AD30" s="7">
        <f t="shared" si="2"/>
        <v>2</v>
      </c>
      <c r="AE30" s="7" t="str">
        <f t="shared" si="1"/>
        <v>Non Libera vend.</v>
      </c>
      <c r="AH30" s="7" t="str">
        <f t="shared" si="3"/>
        <v>Non Libera vend.</v>
      </c>
    </row>
    <row r="31" spans="1:34" ht="34.5">
      <c r="A31" s="138">
        <v>19</v>
      </c>
      <c r="B31" s="171" t="s">
        <v>67</v>
      </c>
      <c r="C31" s="120">
        <f t="shared" si="4"/>
        <v>31</v>
      </c>
      <c r="D31" s="230" t="s">
        <v>370</v>
      </c>
      <c r="E31" s="231"/>
      <c r="F31" s="231"/>
      <c r="G31" s="231"/>
      <c r="H31" s="231"/>
      <c r="I31" s="231"/>
      <c r="J31" s="231"/>
      <c r="K31" s="231"/>
      <c r="L31" s="232"/>
      <c r="Q31" s="7" t="s">
        <v>68</v>
      </c>
      <c r="U31" s="7">
        <f t="shared" si="0"/>
        <v>31</v>
      </c>
      <c r="AB31" s="7">
        <v>0</v>
      </c>
      <c r="AC31" s="7">
        <v>0</v>
      </c>
      <c r="AD31" s="7">
        <f t="shared" si="2"/>
        <v>0</v>
      </c>
      <c r="AE31" s="7">
        <f t="shared" si="1"/>
        <v>0</v>
      </c>
      <c r="AH31" s="7">
        <f t="shared" si="3"/>
      </c>
    </row>
    <row r="32" spans="1:34" ht="23.25">
      <c r="A32" s="137">
        <v>20</v>
      </c>
      <c r="B32" s="170" t="s">
        <v>69</v>
      </c>
      <c r="C32" s="130">
        <f t="shared" si="4"/>
        <v>32</v>
      </c>
      <c r="D32" s="227" t="s">
        <v>370</v>
      </c>
      <c r="E32" s="228"/>
      <c r="F32" s="228"/>
      <c r="G32" s="228"/>
      <c r="H32" s="228"/>
      <c r="I32" s="228"/>
      <c r="J32" s="228"/>
      <c r="K32" s="228"/>
      <c r="L32" s="229"/>
      <c r="Q32" s="7" t="s">
        <v>68</v>
      </c>
      <c r="U32" s="7">
        <f t="shared" si="0"/>
        <v>32</v>
      </c>
      <c r="AB32" s="7">
        <v>0</v>
      </c>
      <c r="AC32" s="7">
        <v>0</v>
      </c>
      <c r="AD32" s="7">
        <f t="shared" si="2"/>
        <v>0</v>
      </c>
      <c r="AE32" s="7">
        <f t="shared" si="1"/>
        <v>0</v>
      </c>
      <c r="AH32" s="7">
        <f t="shared" si="3"/>
      </c>
    </row>
    <row r="33" spans="1:34" ht="34.5">
      <c r="A33" s="138">
        <v>21</v>
      </c>
      <c r="B33" s="171" t="s">
        <v>70</v>
      </c>
      <c r="C33" s="120">
        <f t="shared" si="4"/>
        <v>33</v>
      </c>
      <c r="D33" s="230" t="s">
        <v>370</v>
      </c>
      <c r="E33" s="231"/>
      <c r="F33" s="231"/>
      <c r="G33" s="231"/>
      <c r="H33" s="231"/>
      <c r="I33" s="231"/>
      <c r="J33" s="231"/>
      <c r="K33" s="231"/>
      <c r="L33" s="232"/>
      <c r="Q33" s="7" t="s">
        <v>68</v>
      </c>
      <c r="U33" s="7">
        <f t="shared" si="0"/>
        <v>33</v>
      </c>
      <c r="AB33" s="7">
        <v>0</v>
      </c>
      <c r="AC33" s="7">
        <v>0</v>
      </c>
      <c r="AD33" s="7">
        <f t="shared" si="2"/>
        <v>0</v>
      </c>
      <c r="AE33" s="7">
        <f aca="true" t="shared" si="5" ref="AE33:AE63">+IF(AB33=1,I33&amp;CHAR(10)&amp;"",I33)</f>
        <v>0</v>
      </c>
      <c r="AH33" s="7">
        <f t="shared" si="3"/>
      </c>
    </row>
    <row r="34" spans="1:34" ht="23.25">
      <c r="A34" s="137">
        <v>22</v>
      </c>
      <c r="B34" s="170" t="s">
        <v>71</v>
      </c>
      <c r="C34" s="130">
        <f t="shared" si="4"/>
        <v>34</v>
      </c>
      <c r="D34" s="227" t="s">
        <v>370</v>
      </c>
      <c r="E34" s="228"/>
      <c r="F34" s="228"/>
      <c r="G34" s="228"/>
      <c r="H34" s="228"/>
      <c r="I34" s="228"/>
      <c r="J34" s="228"/>
      <c r="K34" s="228"/>
      <c r="L34" s="229"/>
      <c r="Q34" s="7" t="s">
        <v>72</v>
      </c>
      <c r="U34" s="7">
        <f t="shared" si="0"/>
        <v>34</v>
      </c>
      <c r="AB34" s="7">
        <v>0</v>
      </c>
      <c r="AC34" s="7">
        <v>0</v>
      </c>
      <c r="AD34" s="7">
        <f t="shared" si="2"/>
        <v>0</v>
      </c>
      <c r="AE34" s="7">
        <f t="shared" si="5"/>
        <v>0</v>
      </c>
      <c r="AH34" s="7">
        <f t="shared" si="3"/>
      </c>
    </row>
    <row r="35" spans="1:34" ht="26.25" customHeight="1">
      <c r="A35" s="138">
        <v>23</v>
      </c>
      <c r="B35" s="171" t="s">
        <v>74</v>
      </c>
      <c r="C35" s="120">
        <f t="shared" si="4"/>
        <v>35</v>
      </c>
      <c r="D35" s="230" t="s">
        <v>370</v>
      </c>
      <c r="E35" s="231"/>
      <c r="F35" s="231"/>
      <c r="G35" s="231"/>
      <c r="H35" s="231"/>
      <c r="I35" s="231"/>
      <c r="J35" s="231"/>
      <c r="K35" s="231"/>
      <c r="L35" s="232"/>
      <c r="Q35" s="7" t="s">
        <v>68</v>
      </c>
      <c r="U35" s="7">
        <f t="shared" si="0"/>
        <v>35</v>
      </c>
      <c r="AB35" s="7">
        <v>0</v>
      </c>
      <c r="AC35" s="7">
        <v>0</v>
      </c>
      <c r="AD35" s="7">
        <f t="shared" si="2"/>
        <v>0</v>
      </c>
      <c r="AE35" s="7">
        <f t="shared" si="5"/>
        <v>0</v>
      </c>
      <c r="AH35" s="7">
        <f t="shared" si="3"/>
      </c>
    </row>
    <row r="36" spans="1:34" ht="23.25">
      <c r="A36" s="137">
        <v>24</v>
      </c>
      <c r="B36" s="170" t="s">
        <v>73</v>
      </c>
      <c r="C36" s="130">
        <f t="shared" si="4"/>
        <v>36</v>
      </c>
      <c r="D36" s="153" t="s">
        <v>47</v>
      </c>
      <c r="E36" s="131" t="s">
        <v>44</v>
      </c>
      <c r="F36" s="132">
        <v>8</v>
      </c>
      <c r="G36" s="127">
        <v>5000</v>
      </c>
      <c r="H36" s="133">
        <v>0.1</v>
      </c>
      <c r="I36" s="165" t="s">
        <v>377</v>
      </c>
      <c r="J36" s="131" t="str">
        <f>+"X =("&amp;O36&amp;"Q-"&amp;P36&amp;")/Q)"</f>
        <v>X =(2Q-10)/Q)</v>
      </c>
      <c r="K36" s="270"/>
      <c r="L36" s="271"/>
      <c r="O36" s="7">
        <v>2</v>
      </c>
      <c r="P36" s="7">
        <v>10</v>
      </c>
      <c r="Q36" s="7" t="s">
        <v>68</v>
      </c>
      <c r="U36" s="7">
        <f t="shared" si="0"/>
        <v>36</v>
      </c>
      <c r="AB36" s="7">
        <v>0</v>
      </c>
      <c r="AC36" s="7">
        <v>0</v>
      </c>
      <c r="AD36" s="7" t="str">
        <f t="shared" si="2"/>
        <v>F</v>
      </c>
      <c r="AE36" s="7" t="str">
        <f t="shared" si="5"/>
        <v>Potenzialità[t] Q</v>
      </c>
      <c r="AH36" s="7" t="str">
        <f t="shared" si="3"/>
        <v>Potenzialità[t] Q</v>
      </c>
    </row>
    <row r="37" spans="1:34" ht="23.25">
      <c r="A37" s="138">
        <v>25</v>
      </c>
      <c r="B37" s="171" t="s">
        <v>75</v>
      </c>
      <c r="C37" s="120">
        <f t="shared" si="4"/>
        <v>37</v>
      </c>
      <c r="D37" s="144" t="s">
        <v>47</v>
      </c>
      <c r="E37" s="126" t="s">
        <v>44</v>
      </c>
      <c r="F37" s="127">
        <v>8</v>
      </c>
      <c r="G37" s="127">
        <v>5000</v>
      </c>
      <c r="H37" s="141">
        <v>0.1</v>
      </c>
      <c r="I37" s="144" t="s">
        <v>279</v>
      </c>
      <c r="J37" s="156" t="str">
        <f>+"X =("&amp;O37&amp;"Q-"&amp;P37&amp;")/Q)"</f>
        <v>X =(2Q-500)/Q)</v>
      </c>
      <c r="K37" s="272"/>
      <c r="L37" s="273"/>
      <c r="O37" s="7">
        <v>2</v>
      </c>
      <c r="P37" s="7">
        <v>500</v>
      </c>
      <c r="Q37" s="7" t="s">
        <v>68</v>
      </c>
      <c r="U37" s="7">
        <f t="shared" si="0"/>
        <v>37</v>
      </c>
      <c r="AB37" s="7">
        <v>0</v>
      </c>
      <c r="AC37" s="7">
        <v>0</v>
      </c>
      <c r="AD37" s="7" t="str">
        <f t="shared" si="2"/>
        <v>F</v>
      </c>
      <c r="AE37" s="7" t="str">
        <f t="shared" si="5"/>
        <v>massa [kg] Q</v>
      </c>
      <c r="AH37" s="7" t="str">
        <f t="shared" si="3"/>
        <v>massa [kg] Q</v>
      </c>
    </row>
    <row r="38" spans="1:34" ht="23.25">
      <c r="A38" s="137">
        <v>26</v>
      </c>
      <c r="B38" s="170" t="s">
        <v>311</v>
      </c>
      <c r="C38" s="130">
        <f t="shared" si="4"/>
        <v>38</v>
      </c>
      <c r="D38" s="230" t="s">
        <v>370</v>
      </c>
      <c r="E38" s="231"/>
      <c r="F38" s="231"/>
      <c r="G38" s="231"/>
      <c r="H38" s="231"/>
      <c r="I38" s="231"/>
      <c r="J38" s="231"/>
      <c r="K38" s="231"/>
      <c r="L38" s="232"/>
      <c r="Q38" s="7" t="s">
        <v>68</v>
      </c>
      <c r="U38" s="7">
        <f t="shared" si="0"/>
        <v>38</v>
      </c>
      <c r="AB38" s="7">
        <v>0</v>
      </c>
      <c r="AC38" s="7">
        <v>0</v>
      </c>
      <c r="AD38" s="7">
        <f t="shared" si="2"/>
        <v>0</v>
      </c>
      <c r="AE38" s="7">
        <f t="shared" si="5"/>
        <v>0</v>
      </c>
      <c r="AH38" s="7">
        <f t="shared" si="3"/>
      </c>
    </row>
    <row r="39" spans="1:34" ht="24" customHeight="1">
      <c r="A39" s="304">
        <v>27</v>
      </c>
      <c r="B39" s="241" t="s">
        <v>76</v>
      </c>
      <c r="C39" s="120">
        <f t="shared" si="4"/>
        <v>39</v>
      </c>
      <c r="D39" s="283" t="s">
        <v>47</v>
      </c>
      <c r="E39" s="284" t="s">
        <v>44</v>
      </c>
      <c r="F39" s="285">
        <v>6</v>
      </c>
      <c r="G39" s="285">
        <v>1000</v>
      </c>
      <c r="H39" s="286">
        <v>0.1</v>
      </c>
      <c r="I39" s="247" t="s">
        <v>275</v>
      </c>
      <c r="J39" s="257" t="str">
        <f>+"X =("&amp;O39&amp;"Q-"&amp;P39&amp;")/Q)"</f>
        <v>X =(2Q-20)/Q)</v>
      </c>
      <c r="K39" s="128" t="s">
        <v>81</v>
      </c>
      <c r="L39" s="129">
        <v>0.6</v>
      </c>
      <c r="O39" s="7">
        <v>2</v>
      </c>
      <c r="P39" s="7">
        <v>20</v>
      </c>
      <c r="Q39" s="7" t="s">
        <v>82</v>
      </c>
      <c r="U39" s="7">
        <f t="shared" si="0"/>
        <v>39</v>
      </c>
      <c r="AA39" s="7" t="s">
        <v>274</v>
      </c>
      <c r="AB39" s="7">
        <v>1</v>
      </c>
      <c r="AC39" s="7">
        <v>0</v>
      </c>
      <c r="AD39" s="7" t="str">
        <f t="shared" si="2"/>
        <v>F</v>
      </c>
      <c r="AE39" s="7" t="str">
        <f t="shared" si="5"/>
        <v>massa [t] Q
</v>
      </c>
      <c r="AH39" s="7" t="str">
        <f t="shared" si="3"/>
        <v>massa [t] Q
</v>
      </c>
    </row>
    <row r="40" spans="1:34" ht="15">
      <c r="A40" s="304"/>
      <c r="B40" s="242"/>
      <c r="C40" s="120">
        <f t="shared" si="4"/>
        <v>40</v>
      </c>
      <c r="D40" s="283"/>
      <c r="E40" s="284"/>
      <c r="F40" s="285"/>
      <c r="G40" s="285"/>
      <c r="H40" s="286"/>
      <c r="I40" s="248"/>
      <c r="J40" s="258"/>
      <c r="K40" s="128" t="s">
        <v>80</v>
      </c>
      <c r="L40" s="129">
        <v>1</v>
      </c>
      <c r="U40" s="7">
        <f t="shared" si="0"/>
        <v>40</v>
      </c>
      <c r="AB40" s="7">
        <v>1</v>
      </c>
      <c r="AC40" s="7">
        <v>0</v>
      </c>
      <c r="AD40" s="7">
        <f t="shared" si="2"/>
        <v>0</v>
      </c>
      <c r="AE40" s="7" t="str">
        <f t="shared" si="5"/>
        <v>
</v>
      </c>
      <c r="AH40" s="7">
        <f t="shared" si="3"/>
      </c>
    </row>
    <row r="41" spans="1:34" ht="26.25" customHeight="1">
      <c r="A41" s="305">
        <v>28</v>
      </c>
      <c r="B41" s="223" t="s">
        <v>84</v>
      </c>
      <c r="C41" s="130">
        <f t="shared" si="4"/>
        <v>41</v>
      </c>
      <c r="D41" s="259" t="s">
        <v>47</v>
      </c>
      <c r="E41" s="260" t="s">
        <v>44</v>
      </c>
      <c r="F41" s="261">
        <v>6</v>
      </c>
      <c r="G41" s="261">
        <v>1000</v>
      </c>
      <c r="H41" s="287">
        <v>0.1</v>
      </c>
      <c r="I41" s="247" t="s">
        <v>275</v>
      </c>
      <c r="J41" s="255" t="str">
        <f>+"X =("&amp;O41&amp;"Q-"&amp;P41&amp;")/Q)"</f>
        <v>X =(2Q-50)/Q)</v>
      </c>
      <c r="K41" s="264"/>
      <c r="L41" s="265"/>
      <c r="O41" s="7">
        <v>2</v>
      </c>
      <c r="P41" s="7">
        <v>50</v>
      </c>
      <c r="Q41" s="7" t="s">
        <v>85</v>
      </c>
      <c r="U41" s="7">
        <f t="shared" si="0"/>
        <v>41</v>
      </c>
      <c r="AB41" s="7">
        <v>1</v>
      </c>
      <c r="AC41" s="7">
        <v>0</v>
      </c>
      <c r="AD41" s="7" t="str">
        <f t="shared" si="2"/>
        <v>F</v>
      </c>
      <c r="AE41" s="7" t="str">
        <f t="shared" si="5"/>
        <v>massa [t] Q
</v>
      </c>
      <c r="AH41" s="7" t="str">
        <f t="shared" si="3"/>
        <v>massa [t] Q
</v>
      </c>
    </row>
    <row r="42" spans="1:34" ht="7.5" customHeight="1">
      <c r="A42" s="305"/>
      <c r="B42" s="224"/>
      <c r="C42" s="130">
        <f t="shared" si="4"/>
        <v>42</v>
      </c>
      <c r="D42" s="259"/>
      <c r="E42" s="260"/>
      <c r="F42" s="261"/>
      <c r="G42" s="261"/>
      <c r="H42" s="287"/>
      <c r="I42" s="248" t="s">
        <v>239</v>
      </c>
      <c r="J42" s="256"/>
      <c r="K42" s="274"/>
      <c r="L42" s="275"/>
      <c r="U42" s="7">
        <f t="shared" si="0"/>
        <v>42</v>
      </c>
      <c r="AB42" s="7">
        <v>1</v>
      </c>
      <c r="AC42" s="7">
        <v>0</v>
      </c>
      <c r="AD42" s="7">
        <f t="shared" si="2"/>
        <v>0</v>
      </c>
      <c r="AE42" s="7" t="str">
        <f t="shared" si="5"/>
        <v>
</v>
      </c>
      <c r="AH42" s="7">
        <f t="shared" si="3"/>
      </c>
    </row>
    <row r="43" spans="1:34" ht="15">
      <c r="A43" s="138">
        <v>29</v>
      </c>
      <c r="B43" s="171" t="s">
        <v>86</v>
      </c>
      <c r="C43" s="120">
        <f t="shared" si="4"/>
        <v>43</v>
      </c>
      <c r="D43" s="227" t="s">
        <v>370</v>
      </c>
      <c r="E43" s="228"/>
      <c r="F43" s="228"/>
      <c r="G43" s="228"/>
      <c r="H43" s="228"/>
      <c r="I43" s="228"/>
      <c r="J43" s="228"/>
      <c r="K43" s="228"/>
      <c r="L43" s="229"/>
      <c r="U43" s="7">
        <f t="shared" si="0"/>
        <v>43</v>
      </c>
      <c r="AB43" s="7">
        <v>0</v>
      </c>
      <c r="AC43" s="7">
        <v>0</v>
      </c>
      <c r="AD43" s="7">
        <f t="shared" si="2"/>
        <v>0</v>
      </c>
      <c r="AE43" s="7">
        <f t="shared" si="5"/>
        <v>0</v>
      </c>
      <c r="AH43" s="7">
        <f t="shared" si="3"/>
      </c>
    </row>
    <row r="44" spans="1:34" ht="15">
      <c r="A44" s="137">
        <v>30</v>
      </c>
      <c r="B44" s="170" t="s">
        <v>87</v>
      </c>
      <c r="C44" s="130">
        <f t="shared" si="4"/>
        <v>44</v>
      </c>
      <c r="D44" s="230" t="s">
        <v>370</v>
      </c>
      <c r="E44" s="231"/>
      <c r="F44" s="231"/>
      <c r="G44" s="231"/>
      <c r="H44" s="231"/>
      <c r="I44" s="231"/>
      <c r="J44" s="231"/>
      <c r="K44" s="231"/>
      <c r="L44" s="232"/>
      <c r="U44" s="7">
        <f t="shared" si="0"/>
        <v>44</v>
      </c>
      <c r="AB44" s="7">
        <v>0</v>
      </c>
      <c r="AC44" s="7">
        <v>0</v>
      </c>
      <c r="AD44" s="7">
        <f t="shared" si="2"/>
        <v>0</v>
      </c>
      <c r="AE44" s="7">
        <f t="shared" si="5"/>
        <v>0</v>
      </c>
      <c r="AH44" s="7">
        <f t="shared" si="3"/>
      </c>
    </row>
    <row r="45" spans="1:34" ht="15">
      <c r="A45" s="138">
        <v>31</v>
      </c>
      <c r="B45" s="171" t="s">
        <v>88</v>
      </c>
      <c r="C45" s="120">
        <f t="shared" si="4"/>
        <v>45</v>
      </c>
      <c r="D45" s="144" t="s">
        <v>43</v>
      </c>
      <c r="E45" s="126" t="s">
        <v>44</v>
      </c>
      <c r="F45" s="127">
        <v>6</v>
      </c>
      <c r="G45" s="132">
        <v>2000</v>
      </c>
      <c r="H45" s="141">
        <v>0.1</v>
      </c>
      <c r="I45" s="144" t="s">
        <v>275</v>
      </c>
      <c r="J45" s="156" t="str">
        <f>+"X =("&amp;O45&amp;"Q-"&amp;P45&amp;")/Q)"</f>
        <v>X =(2Q-50)/Q)</v>
      </c>
      <c r="K45" s="272"/>
      <c r="L45" s="273"/>
      <c r="O45" s="7">
        <v>2</v>
      </c>
      <c r="P45" s="7">
        <v>50</v>
      </c>
      <c r="Q45" s="7" t="s">
        <v>85</v>
      </c>
      <c r="U45" s="7">
        <f t="shared" si="0"/>
        <v>45</v>
      </c>
      <c r="AB45" s="7">
        <v>1</v>
      </c>
      <c r="AC45" s="7">
        <v>0</v>
      </c>
      <c r="AD45" s="7" t="str">
        <f t="shared" si="2"/>
        <v>F</v>
      </c>
      <c r="AE45" s="7" t="str">
        <f t="shared" si="5"/>
        <v>massa [t] Q
</v>
      </c>
      <c r="AH45" s="7" t="str">
        <f t="shared" si="3"/>
        <v>massa [t] Q
</v>
      </c>
    </row>
    <row r="46" spans="1:34" ht="34.5">
      <c r="A46" s="137">
        <v>32</v>
      </c>
      <c r="B46" s="170" t="s">
        <v>89</v>
      </c>
      <c r="C46" s="130">
        <f t="shared" si="4"/>
        <v>46</v>
      </c>
      <c r="D46" s="153" t="s">
        <v>43</v>
      </c>
      <c r="E46" s="131" t="s">
        <v>44</v>
      </c>
      <c r="F46" s="132">
        <v>6</v>
      </c>
      <c r="G46" s="132">
        <v>2000</v>
      </c>
      <c r="H46" s="133">
        <v>0.1</v>
      </c>
      <c r="I46" s="153" t="s">
        <v>275</v>
      </c>
      <c r="J46" s="157" t="str">
        <f>+"X =("&amp;O46&amp;"Q-"&amp;P46&amp;")/Q)"</f>
        <v>X =(2Q-50)/Q)</v>
      </c>
      <c r="K46" s="270"/>
      <c r="L46" s="271"/>
      <c r="O46" s="7">
        <v>2</v>
      </c>
      <c r="P46" s="7">
        <v>50</v>
      </c>
      <c r="Q46" s="7" t="s">
        <v>85</v>
      </c>
      <c r="U46" s="7">
        <f t="shared" si="0"/>
        <v>46</v>
      </c>
      <c r="AB46" s="7">
        <v>1</v>
      </c>
      <c r="AC46" s="7">
        <v>0</v>
      </c>
      <c r="AD46" s="7" t="str">
        <f t="shared" si="2"/>
        <v>F</v>
      </c>
      <c r="AE46" s="7" t="str">
        <f t="shared" si="5"/>
        <v>massa [t] Q
</v>
      </c>
      <c r="AH46" s="7" t="str">
        <f t="shared" si="3"/>
        <v>massa [t] Q
</v>
      </c>
    </row>
    <row r="47" spans="1:34" ht="25.5" customHeight="1">
      <c r="A47" s="304">
        <v>33</v>
      </c>
      <c r="B47" s="233" t="s">
        <v>90</v>
      </c>
      <c r="C47" s="120">
        <f t="shared" si="4"/>
        <v>47</v>
      </c>
      <c r="D47" s="283" t="s">
        <v>47</v>
      </c>
      <c r="E47" s="284" t="s">
        <v>44</v>
      </c>
      <c r="F47" s="285">
        <v>6</v>
      </c>
      <c r="G47" s="285">
        <v>2000</v>
      </c>
      <c r="H47" s="286">
        <v>0.1</v>
      </c>
      <c r="I47" s="247" t="s">
        <v>275</v>
      </c>
      <c r="J47" s="257" t="str">
        <f>+"X =("&amp;O47&amp;"Q-"&amp;P47&amp;")/Q)"</f>
        <v>X =(2Q-50)/Q)</v>
      </c>
      <c r="K47" s="142" t="s">
        <v>91</v>
      </c>
      <c r="L47" s="129">
        <v>1</v>
      </c>
      <c r="O47" s="7">
        <v>2</v>
      </c>
      <c r="P47" s="7">
        <v>50</v>
      </c>
      <c r="Q47" s="7" t="s">
        <v>85</v>
      </c>
      <c r="U47" s="7">
        <f t="shared" si="0"/>
        <v>47</v>
      </c>
      <c r="AB47" s="7">
        <v>1</v>
      </c>
      <c r="AC47" s="7">
        <v>0</v>
      </c>
      <c r="AD47" s="7" t="str">
        <f t="shared" si="2"/>
        <v>F</v>
      </c>
      <c r="AE47" s="7" t="str">
        <f t="shared" si="5"/>
        <v>massa [t] Q
</v>
      </c>
      <c r="AH47" s="7" t="str">
        <f t="shared" si="3"/>
        <v>massa [t] Q
</v>
      </c>
    </row>
    <row r="48" spans="1:34" ht="27" customHeight="1">
      <c r="A48" s="304"/>
      <c r="B48" s="234"/>
      <c r="C48" s="120">
        <f t="shared" si="4"/>
        <v>48</v>
      </c>
      <c r="D48" s="283"/>
      <c r="E48" s="284"/>
      <c r="F48" s="285"/>
      <c r="G48" s="285"/>
      <c r="H48" s="286"/>
      <c r="I48" s="248" t="s">
        <v>239</v>
      </c>
      <c r="J48" s="258"/>
      <c r="K48" s="128" t="s">
        <v>276</v>
      </c>
      <c r="L48" s="129">
        <v>1.5</v>
      </c>
      <c r="U48" s="7">
        <f t="shared" si="0"/>
        <v>48</v>
      </c>
      <c r="AB48" s="7">
        <v>1</v>
      </c>
      <c r="AC48" s="7">
        <v>0</v>
      </c>
      <c r="AD48" s="7">
        <f t="shared" si="2"/>
        <v>0</v>
      </c>
      <c r="AE48" s="7" t="str">
        <f t="shared" si="5"/>
        <v>
</v>
      </c>
      <c r="AH48" s="7">
        <f t="shared" si="3"/>
      </c>
    </row>
    <row r="49" spans="1:34" ht="51.75" customHeight="1">
      <c r="A49" s="305">
        <v>34</v>
      </c>
      <c r="B49" s="223" t="s">
        <v>93</v>
      </c>
      <c r="C49" s="130">
        <f t="shared" si="4"/>
        <v>49</v>
      </c>
      <c r="D49" s="259" t="s">
        <v>47</v>
      </c>
      <c r="E49" s="260" t="s">
        <v>44</v>
      </c>
      <c r="F49" s="261">
        <v>4</v>
      </c>
      <c r="G49" s="261">
        <v>2000</v>
      </c>
      <c r="H49" s="287">
        <v>0.1</v>
      </c>
      <c r="I49" s="245" t="s">
        <v>275</v>
      </c>
      <c r="J49" s="255" t="str">
        <f>+"X =("&amp;O49&amp;"Q-"&amp;P49&amp;")/Q)"</f>
        <v>X =(2Q-50)/Q)</v>
      </c>
      <c r="K49" s="143" t="s">
        <v>220</v>
      </c>
      <c r="L49" s="135">
        <v>1</v>
      </c>
      <c r="O49" s="7">
        <v>2</v>
      </c>
      <c r="P49" s="7">
        <v>50</v>
      </c>
      <c r="Q49" s="7" t="s">
        <v>85</v>
      </c>
      <c r="U49" s="7">
        <f t="shared" si="0"/>
        <v>49</v>
      </c>
      <c r="AB49" s="7">
        <v>1</v>
      </c>
      <c r="AC49" s="7">
        <v>0</v>
      </c>
      <c r="AD49" s="7" t="str">
        <f t="shared" si="2"/>
        <v>F</v>
      </c>
      <c r="AE49" s="7" t="str">
        <f t="shared" si="5"/>
        <v>massa [t] Q
</v>
      </c>
      <c r="AH49" s="7" t="str">
        <f t="shared" si="3"/>
        <v>massa [t] Q
</v>
      </c>
    </row>
    <row r="50" spans="1:34" ht="15">
      <c r="A50" s="305"/>
      <c r="B50" s="224"/>
      <c r="C50" s="130"/>
      <c r="D50" s="259"/>
      <c r="E50" s="260"/>
      <c r="F50" s="261"/>
      <c r="G50" s="261"/>
      <c r="H50" s="287"/>
      <c r="I50" s="246" t="s">
        <v>239</v>
      </c>
      <c r="J50" s="256"/>
      <c r="K50" s="143" t="s">
        <v>221</v>
      </c>
      <c r="L50" s="135">
        <v>2</v>
      </c>
      <c r="AB50" s="7">
        <v>1</v>
      </c>
      <c r="AC50" s="7">
        <v>0</v>
      </c>
      <c r="AD50" s="7">
        <f t="shared" si="2"/>
        <v>0</v>
      </c>
      <c r="AE50" s="7" t="str">
        <f t="shared" si="5"/>
        <v>
</v>
      </c>
      <c r="AH50" s="7">
        <f t="shared" si="3"/>
      </c>
    </row>
    <row r="51" spans="1:34" ht="32.25" customHeight="1">
      <c r="A51" s="304">
        <v>35</v>
      </c>
      <c r="B51" s="241" t="s">
        <v>94</v>
      </c>
      <c r="C51" s="120">
        <f t="shared" si="4"/>
        <v>51</v>
      </c>
      <c r="D51" s="283" t="s">
        <v>47</v>
      </c>
      <c r="E51" s="284" t="s">
        <v>44</v>
      </c>
      <c r="F51" s="285">
        <v>6</v>
      </c>
      <c r="G51" s="285">
        <v>2000</v>
      </c>
      <c r="H51" s="286">
        <v>0.1</v>
      </c>
      <c r="I51" s="247" t="s">
        <v>275</v>
      </c>
      <c r="J51" s="257" t="str">
        <f>+"X =("&amp;O51&amp;"Q-"&amp;P51&amp;")/Q)"</f>
        <v>X =(2Q-5)/Q)</v>
      </c>
      <c r="K51" s="142" t="s">
        <v>55</v>
      </c>
      <c r="L51" s="129">
        <v>1</v>
      </c>
      <c r="O51" s="7">
        <v>2</v>
      </c>
      <c r="P51" s="7">
        <v>5</v>
      </c>
      <c r="Q51" s="7" t="s">
        <v>95</v>
      </c>
      <c r="U51" s="7">
        <f t="shared" si="0"/>
        <v>51</v>
      </c>
      <c r="AB51" s="7">
        <v>1</v>
      </c>
      <c r="AC51" s="7">
        <v>0</v>
      </c>
      <c r="AD51" s="7" t="str">
        <f t="shared" si="2"/>
        <v>F</v>
      </c>
      <c r="AE51" s="7" t="str">
        <f t="shared" si="5"/>
        <v>massa [t] Q
</v>
      </c>
      <c r="AH51" s="7" t="str">
        <f t="shared" si="3"/>
        <v>massa [t] Q
</v>
      </c>
    </row>
    <row r="52" spans="1:34" ht="15">
      <c r="A52" s="304"/>
      <c r="B52" s="242"/>
      <c r="C52" s="120">
        <f t="shared" si="4"/>
        <v>52</v>
      </c>
      <c r="D52" s="283"/>
      <c r="E52" s="284"/>
      <c r="F52" s="285"/>
      <c r="G52" s="285"/>
      <c r="H52" s="286"/>
      <c r="I52" s="248" t="s">
        <v>239</v>
      </c>
      <c r="J52" s="258"/>
      <c r="K52" s="128" t="s">
        <v>277</v>
      </c>
      <c r="L52" s="129">
        <v>1.3</v>
      </c>
      <c r="U52" s="7">
        <f t="shared" si="0"/>
        <v>52</v>
      </c>
      <c r="AB52" s="7">
        <v>1</v>
      </c>
      <c r="AC52" s="7">
        <v>0</v>
      </c>
      <c r="AD52" s="7">
        <f t="shared" si="2"/>
        <v>0</v>
      </c>
      <c r="AE52" s="7" t="str">
        <f t="shared" si="5"/>
        <v>
</v>
      </c>
      <c r="AH52" s="7">
        <f t="shared" si="3"/>
      </c>
    </row>
    <row r="53" spans="1:34" ht="45.75">
      <c r="A53" s="137">
        <v>36</v>
      </c>
      <c r="B53" s="170" t="s">
        <v>97</v>
      </c>
      <c r="C53" s="130">
        <f t="shared" si="4"/>
        <v>53</v>
      </c>
      <c r="D53" s="153" t="s">
        <v>47</v>
      </c>
      <c r="E53" s="131" t="s">
        <v>44</v>
      </c>
      <c r="F53" s="132">
        <v>4</v>
      </c>
      <c r="G53" s="132">
        <v>1000</v>
      </c>
      <c r="H53" s="133">
        <v>0.1</v>
      </c>
      <c r="I53" s="153" t="s">
        <v>275</v>
      </c>
      <c r="J53" s="157" t="str">
        <f>+"X =("&amp;O53&amp;"Q-"&amp;P53&amp;")/Q)"</f>
        <v>X =(2Q-50)/Q)</v>
      </c>
      <c r="K53" s="270"/>
      <c r="L53" s="271"/>
      <c r="O53" s="7">
        <v>2</v>
      </c>
      <c r="P53" s="7">
        <v>50</v>
      </c>
      <c r="Q53" s="7" t="s">
        <v>85</v>
      </c>
      <c r="U53" s="7">
        <f t="shared" si="0"/>
        <v>53</v>
      </c>
      <c r="AB53" s="7">
        <v>1</v>
      </c>
      <c r="AC53" s="7">
        <v>0</v>
      </c>
      <c r="AD53" s="7" t="str">
        <f t="shared" si="2"/>
        <v>F</v>
      </c>
      <c r="AE53" s="7" t="str">
        <f t="shared" si="5"/>
        <v>massa [t] Q
</v>
      </c>
      <c r="AH53" s="7" t="str">
        <f t="shared" si="3"/>
        <v>massa [t] Q
</v>
      </c>
    </row>
    <row r="54" spans="1:34" ht="18.75" customHeight="1">
      <c r="A54" s="304">
        <v>37</v>
      </c>
      <c r="B54" s="241" t="s">
        <v>98</v>
      </c>
      <c r="C54" s="120">
        <f t="shared" si="4"/>
        <v>54</v>
      </c>
      <c r="D54" s="283" t="s">
        <v>47</v>
      </c>
      <c r="E54" s="284" t="s">
        <v>44</v>
      </c>
      <c r="F54" s="285">
        <v>7</v>
      </c>
      <c r="G54" s="285">
        <v>1000</v>
      </c>
      <c r="H54" s="286">
        <v>0.1</v>
      </c>
      <c r="I54" s="247" t="s">
        <v>275</v>
      </c>
      <c r="J54" s="257" t="str">
        <f>+"X =("&amp;O54&amp;"Q-"&amp;P54&amp;")/Q)"</f>
        <v>X =(2Q-5)/Q)</v>
      </c>
      <c r="K54" s="142" t="s">
        <v>55</v>
      </c>
      <c r="L54" s="129">
        <v>1</v>
      </c>
      <c r="O54" s="7">
        <v>2</v>
      </c>
      <c r="P54" s="7">
        <v>5</v>
      </c>
      <c r="Q54" s="7" t="s">
        <v>95</v>
      </c>
      <c r="U54" s="7">
        <f t="shared" si="0"/>
        <v>54</v>
      </c>
      <c r="AB54" s="7">
        <v>1</v>
      </c>
      <c r="AC54" s="7">
        <v>0</v>
      </c>
      <c r="AD54" s="7" t="str">
        <f t="shared" si="2"/>
        <v>F</v>
      </c>
      <c r="AE54" s="7" t="str">
        <f t="shared" si="5"/>
        <v>massa [t] Q
</v>
      </c>
      <c r="AH54" s="7" t="str">
        <f t="shared" si="3"/>
        <v>massa [t] Q
</v>
      </c>
    </row>
    <row r="55" spans="1:34" ht="15">
      <c r="A55" s="304"/>
      <c r="B55" s="242"/>
      <c r="C55" s="120">
        <f t="shared" si="4"/>
        <v>55</v>
      </c>
      <c r="D55" s="283"/>
      <c r="E55" s="284"/>
      <c r="F55" s="285"/>
      <c r="G55" s="285"/>
      <c r="H55" s="286"/>
      <c r="I55" s="248"/>
      <c r="J55" s="258"/>
      <c r="K55" s="128" t="s">
        <v>99</v>
      </c>
      <c r="L55" s="129">
        <v>1.5</v>
      </c>
      <c r="U55" s="7">
        <f t="shared" si="0"/>
        <v>55</v>
      </c>
      <c r="AB55" s="7">
        <v>1</v>
      </c>
      <c r="AC55" s="7">
        <v>0</v>
      </c>
      <c r="AD55" s="7">
        <f t="shared" si="2"/>
        <v>0</v>
      </c>
      <c r="AE55" s="7" t="str">
        <f t="shared" si="5"/>
        <v>
</v>
      </c>
      <c r="AH55" s="7">
        <f t="shared" si="3"/>
      </c>
    </row>
    <row r="56" spans="1:34" ht="25.5" customHeight="1">
      <c r="A56" s="305">
        <v>38</v>
      </c>
      <c r="B56" s="223" t="s">
        <v>100</v>
      </c>
      <c r="C56" s="130">
        <f t="shared" si="4"/>
        <v>56</v>
      </c>
      <c r="D56" s="259" t="s">
        <v>47</v>
      </c>
      <c r="E56" s="260" t="s">
        <v>44</v>
      </c>
      <c r="F56" s="261">
        <v>6</v>
      </c>
      <c r="G56" s="300">
        <v>1000</v>
      </c>
      <c r="H56" s="287">
        <v>0.1</v>
      </c>
      <c r="I56" s="245" t="s">
        <v>275</v>
      </c>
      <c r="J56" s="255" t="str">
        <f>+"X =("&amp;O56&amp;"Q-"&amp;P56&amp;")/Q)"</f>
        <v>X =(2Q-5)/Q)</v>
      </c>
      <c r="K56" s="143" t="s">
        <v>55</v>
      </c>
      <c r="L56" s="135">
        <v>1</v>
      </c>
      <c r="O56" s="7">
        <v>2</v>
      </c>
      <c r="P56" s="7">
        <v>5</v>
      </c>
      <c r="Q56" s="7" t="s">
        <v>95</v>
      </c>
      <c r="U56" s="7">
        <f t="shared" si="0"/>
        <v>56</v>
      </c>
      <c r="AB56" s="7">
        <v>1</v>
      </c>
      <c r="AC56" s="7">
        <v>0</v>
      </c>
      <c r="AD56" s="7" t="str">
        <f t="shared" si="2"/>
        <v>F</v>
      </c>
      <c r="AE56" s="7" t="str">
        <f t="shared" si="5"/>
        <v>massa [t] Q
</v>
      </c>
      <c r="AH56" s="7" t="str">
        <f t="shared" si="3"/>
        <v>massa [t] Q
</v>
      </c>
    </row>
    <row r="57" spans="1:34" ht="15">
      <c r="A57" s="305"/>
      <c r="B57" s="224"/>
      <c r="C57" s="130">
        <f t="shared" si="4"/>
        <v>57</v>
      </c>
      <c r="D57" s="259"/>
      <c r="E57" s="260"/>
      <c r="F57" s="261"/>
      <c r="G57" s="301"/>
      <c r="H57" s="287"/>
      <c r="I57" s="246" t="s">
        <v>239</v>
      </c>
      <c r="J57" s="256"/>
      <c r="K57" s="134" t="s">
        <v>101</v>
      </c>
      <c r="L57" s="135">
        <v>1.5</v>
      </c>
      <c r="U57" s="7">
        <f t="shared" si="0"/>
        <v>57</v>
      </c>
      <c r="AB57" s="7">
        <v>1</v>
      </c>
      <c r="AC57" s="7">
        <v>0</v>
      </c>
      <c r="AD57" s="7">
        <f t="shared" si="2"/>
        <v>0</v>
      </c>
      <c r="AE57" s="7" t="str">
        <f t="shared" si="5"/>
        <v>
</v>
      </c>
      <c r="AH57" s="7">
        <f t="shared" si="3"/>
      </c>
    </row>
    <row r="58" spans="1:34" ht="23.25">
      <c r="A58" s="138">
        <v>39</v>
      </c>
      <c r="B58" s="171" t="s">
        <v>102</v>
      </c>
      <c r="C58" s="120">
        <f t="shared" si="4"/>
        <v>58</v>
      </c>
      <c r="D58" s="144" t="s">
        <v>47</v>
      </c>
      <c r="E58" s="126" t="s">
        <v>44</v>
      </c>
      <c r="F58" s="127">
        <v>8</v>
      </c>
      <c r="G58" s="127">
        <v>1000</v>
      </c>
      <c r="H58" s="141">
        <v>0.1</v>
      </c>
      <c r="I58" s="272"/>
      <c r="J58" s="273"/>
      <c r="K58" s="272"/>
      <c r="L58" s="273"/>
      <c r="U58" s="7">
        <f t="shared" si="0"/>
        <v>58</v>
      </c>
      <c r="AB58" s="7">
        <v>0</v>
      </c>
      <c r="AC58" s="7">
        <v>0</v>
      </c>
      <c r="AD58" s="7">
        <f t="shared" si="2"/>
        <v>0</v>
      </c>
      <c r="AE58" s="7">
        <f t="shared" si="5"/>
        <v>0</v>
      </c>
      <c r="AH58" s="7">
        <f t="shared" si="3"/>
      </c>
    </row>
    <row r="59" spans="1:34" ht="32.25" customHeight="1">
      <c r="A59" s="305">
        <v>40</v>
      </c>
      <c r="B59" s="223" t="s">
        <v>103</v>
      </c>
      <c r="C59" s="130">
        <f t="shared" si="4"/>
        <v>59</v>
      </c>
      <c r="D59" s="259" t="s">
        <v>47</v>
      </c>
      <c r="E59" s="260" t="s">
        <v>44</v>
      </c>
      <c r="F59" s="261">
        <v>8</v>
      </c>
      <c r="G59" s="261">
        <v>1000</v>
      </c>
      <c r="H59" s="287">
        <v>0.1</v>
      </c>
      <c r="I59" s="296" t="s">
        <v>275</v>
      </c>
      <c r="J59" s="298" t="str">
        <f>+"X =("&amp;O59&amp;"Q-"&amp;P59&amp;")/Q)"</f>
        <v>X =(2Q-5)/Q)</v>
      </c>
      <c r="K59" s="143" t="s">
        <v>55</v>
      </c>
      <c r="L59" s="135">
        <v>0.6</v>
      </c>
      <c r="O59" s="7">
        <v>2</v>
      </c>
      <c r="P59" s="7">
        <v>5</v>
      </c>
      <c r="Q59" s="7" t="s">
        <v>95</v>
      </c>
      <c r="U59" s="7">
        <f t="shared" si="0"/>
        <v>59</v>
      </c>
      <c r="AB59" s="7">
        <v>1</v>
      </c>
      <c r="AC59" s="7">
        <v>0</v>
      </c>
      <c r="AD59" s="7" t="str">
        <f t="shared" si="2"/>
        <v>F</v>
      </c>
      <c r="AE59" s="7" t="str">
        <f t="shared" si="5"/>
        <v>massa [t] Q
</v>
      </c>
      <c r="AH59" s="7" t="str">
        <f t="shared" si="3"/>
        <v>massa [t] Q
</v>
      </c>
    </row>
    <row r="60" spans="1:34" ht="25.5" customHeight="1">
      <c r="A60" s="305"/>
      <c r="B60" s="224"/>
      <c r="C60" s="130">
        <f t="shared" si="4"/>
        <v>60</v>
      </c>
      <c r="D60" s="259"/>
      <c r="E60" s="260"/>
      <c r="F60" s="261"/>
      <c r="G60" s="261"/>
      <c r="H60" s="287"/>
      <c r="I60" s="297"/>
      <c r="J60" s="299"/>
      <c r="K60" s="134" t="s">
        <v>101</v>
      </c>
      <c r="L60" s="135">
        <v>1</v>
      </c>
      <c r="U60" s="7">
        <f t="shared" si="0"/>
        <v>60</v>
      </c>
      <c r="AB60" s="7">
        <v>1</v>
      </c>
      <c r="AC60" s="7">
        <v>0</v>
      </c>
      <c r="AD60" s="7">
        <f t="shared" si="2"/>
        <v>0</v>
      </c>
      <c r="AE60" s="7" t="str">
        <f t="shared" si="5"/>
        <v>
</v>
      </c>
      <c r="AH60" s="7">
        <f t="shared" si="3"/>
      </c>
    </row>
    <row r="61" spans="1:34" ht="15">
      <c r="A61" s="138">
        <v>41</v>
      </c>
      <c r="B61" s="171" t="s">
        <v>104</v>
      </c>
      <c r="C61" s="120">
        <f t="shared" si="4"/>
        <v>61</v>
      </c>
      <c r="D61" s="144" t="s">
        <v>47</v>
      </c>
      <c r="E61" s="126" t="s">
        <v>44</v>
      </c>
      <c r="F61" s="145">
        <v>6</v>
      </c>
      <c r="G61" s="146">
        <v>2000</v>
      </c>
      <c r="H61" s="147">
        <v>0.1</v>
      </c>
      <c r="I61" s="243"/>
      <c r="J61" s="244"/>
      <c r="K61" s="292"/>
      <c r="L61" s="293"/>
      <c r="U61" s="7">
        <f t="shared" si="0"/>
        <v>61</v>
      </c>
      <c r="AB61" s="7">
        <v>0</v>
      </c>
      <c r="AC61" s="7">
        <v>0</v>
      </c>
      <c r="AD61" s="7">
        <f t="shared" si="2"/>
        <v>0</v>
      </c>
      <c r="AE61" s="7">
        <f t="shared" si="5"/>
        <v>0</v>
      </c>
      <c r="AH61" s="7">
        <f t="shared" si="3"/>
      </c>
    </row>
    <row r="62" spans="1:34" ht="23.25">
      <c r="A62" s="137">
        <v>42</v>
      </c>
      <c r="B62" s="170" t="s">
        <v>105</v>
      </c>
      <c r="C62" s="130">
        <f t="shared" si="4"/>
        <v>62</v>
      </c>
      <c r="D62" s="153" t="s">
        <v>47</v>
      </c>
      <c r="E62" s="131" t="s">
        <v>44</v>
      </c>
      <c r="F62" s="132">
        <v>6</v>
      </c>
      <c r="G62" s="132">
        <v>1000</v>
      </c>
      <c r="H62" s="133">
        <v>0.1</v>
      </c>
      <c r="I62" s="270"/>
      <c r="J62" s="271"/>
      <c r="K62" s="270"/>
      <c r="L62" s="271"/>
      <c r="U62" s="7">
        <f t="shared" si="0"/>
        <v>62</v>
      </c>
      <c r="AB62" s="7">
        <v>0</v>
      </c>
      <c r="AC62" s="7">
        <v>0</v>
      </c>
      <c r="AD62" s="7">
        <f t="shared" si="2"/>
        <v>0</v>
      </c>
      <c r="AE62" s="7">
        <f t="shared" si="5"/>
        <v>0</v>
      </c>
      <c r="AH62" s="7">
        <f t="shared" si="3"/>
      </c>
    </row>
    <row r="63" spans="1:34" ht="33" customHeight="1">
      <c r="A63" s="304">
        <v>43</v>
      </c>
      <c r="B63" s="241" t="s">
        <v>106</v>
      </c>
      <c r="C63" s="120">
        <f t="shared" si="4"/>
        <v>63</v>
      </c>
      <c r="D63" s="283" t="s">
        <v>47</v>
      </c>
      <c r="E63" s="284" t="s">
        <v>44</v>
      </c>
      <c r="F63" s="285">
        <v>6</v>
      </c>
      <c r="G63" s="285">
        <v>1000</v>
      </c>
      <c r="H63" s="286">
        <v>0.1</v>
      </c>
      <c r="I63" s="247" t="s">
        <v>275</v>
      </c>
      <c r="J63" s="257" t="str">
        <f>+"X =("&amp;O63&amp;"Q-"&amp;P63&amp;")/Q)"</f>
        <v>X =(2Q-5)/Q)</v>
      </c>
      <c r="K63" s="142" t="s">
        <v>55</v>
      </c>
      <c r="L63" s="129">
        <v>0.6</v>
      </c>
      <c r="O63" s="7">
        <v>2</v>
      </c>
      <c r="P63" s="7">
        <v>5</v>
      </c>
      <c r="Q63" s="7" t="s">
        <v>95</v>
      </c>
      <c r="U63" s="7">
        <f t="shared" si="0"/>
        <v>63</v>
      </c>
      <c r="AB63" s="7">
        <v>0</v>
      </c>
      <c r="AC63" s="7">
        <v>0</v>
      </c>
      <c r="AD63" s="7" t="str">
        <f t="shared" si="2"/>
        <v>F</v>
      </c>
      <c r="AE63" s="7" t="str">
        <f t="shared" si="5"/>
        <v>massa [t] Q</v>
      </c>
      <c r="AH63" s="7" t="str">
        <f t="shared" si="3"/>
        <v>massa [t] Q</v>
      </c>
    </row>
    <row r="64" spans="1:34" ht="29.25" customHeight="1">
      <c r="A64" s="304"/>
      <c r="B64" s="242"/>
      <c r="C64" s="120">
        <f t="shared" si="4"/>
        <v>64</v>
      </c>
      <c r="D64" s="283"/>
      <c r="E64" s="284"/>
      <c r="F64" s="285"/>
      <c r="G64" s="285"/>
      <c r="H64" s="286"/>
      <c r="I64" s="248"/>
      <c r="J64" s="258"/>
      <c r="K64" s="128" t="s">
        <v>101</v>
      </c>
      <c r="L64" s="129">
        <v>1</v>
      </c>
      <c r="U64" s="7">
        <f t="shared" si="0"/>
        <v>64</v>
      </c>
      <c r="AB64" s="7">
        <v>0</v>
      </c>
      <c r="AC64" s="7">
        <v>0</v>
      </c>
      <c r="AD64" s="7">
        <f t="shared" si="2"/>
        <v>0</v>
      </c>
      <c r="AE64" s="7">
        <f aca="true" t="shared" si="6" ref="AE64:AE95">+IF(AB64=1,I64&amp;CHAR(10)&amp;"",I64)</f>
        <v>0</v>
      </c>
      <c r="AH64" s="7">
        <f t="shared" si="3"/>
      </c>
    </row>
    <row r="65" spans="1:34" ht="26.25" customHeight="1">
      <c r="A65" s="305">
        <v>44</v>
      </c>
      <c r="B65" s="223" t="s">
        <v>107</v>
      </c>
      <c r="C65" s="130">
        <f t="shared" si="4"/>
        <v>65</v>
      </c>
      <c r="D65" s="259" t="s">
        <v>47</v>
      </c>
      <c r="E65" s="260" t="s">
        <v>44</v>
      </c>
      <c r="F65" s="261">
        <v>6</v>
      </c>
      <c r="G65" s="261">
        <v>1000</v>
      </c>
      <c r="H65" s="287">
        <v>0.1</v>
      </c>
      <c r="I65" s="245" t="s">
        <v>275</v>
      </c>
      <c r="J65" s="294" t="str">
        <f>+"X =("&amp;O65&amp;"Q-"&amp;P65&amp;")/Q)"</f>
        <v>X =(2Q-5)/Q)</v>
      </c>
      <c r="K65" s="143" t="s">
        <v>55</v>
      </c>
      <c r="L65" s="135">
        <v>0.6</v>
      </c>
      <c r="O65" s="7">
        <v>2</v>
      </c>
      <c r="P65" s="7">
        <v>5</v>
      </c>
      <c r="Q65" s="7" t="s">
        <v>95</v>
      </c>
      <c r="U65" s="7">
        <f aca="true" t="shared" si="7" ref="U65:U110">+C65</f>
        <v>65</v>
      </c>
      <c r="AB65" s="7">
        <v>1</v>
      </c>
      <c r="AC65" s="7">
        <v>0</v>
      </c>
      <c r="AD65" s="7" t="str">
        <f aca="true" t="shared" si="8" ref="AD65:AD112">+IF(O65="",J65,"F")</f>
        <v>F</v>
      </c>
      <c r="AE65" s="7" t="str">
        <f t="shared" si="6"/>
        <v>massa [t] Q
</v>
      </c>
      <c r="AH65" s="7" t="str">
        <f aca="true" t="shared" si="9" ref="AH65:AH112">+IF(I65="","",AE65)</f>
        <v>massa [t] Q
</v>
      </c>
    </row>
    <row r="66" spans="1:34" ht="15">
      <c r="A66" s="305"/>
      <c r="B66" s="224"/>
      <c r="C66" s="130">
        <f aca="true" t="shared" si="10" ref="C66:C113">+ROW(A66)</f>
        <v>66</v>
      </c>
      <c r="D66" s="259"/>
      <c r="E66" s="260"/>
      <c r="F66" s="261"/>
      <c r="G66" s="261"/>
      <c r="H66" s="287"/>
      <c r="I66" s="246"/>
      <c r="J66" s="295"/>
      <c r="K66" s="134" t="s">
        <v>101</v>
      </c>
      <c r="L66" s="135">
        <v>1</v>
      </c>
      <c r="U66" s="7">
        <f t="shared" si="7"/>
        <v>66</v>
      </c>
      <c r="AB66" s="7">
        <v>1</v>
      </c>
      <c r="AC66" s="7">
        <v>0</v>
      </c>
      <c r="AD66" s="7">
        <f t="shared" si="8"/>
        <v>0</v>
      </c>
      <c r="AE66" s="7" t="str">
        <f t="shared" si="6"/>
        <v>
</v>
      </c>
      <c r="AH66" s="7">
        <f t="shared" si="9"/>
      </c>
    </row>
    <row r="67" spans="1:34" ht="34.5">
      <c r="A67" s="138">
        <v>45</v>
      </c>
      <c r="B67" s="171" t="s">
        <v>108</v>
      </c>
      <c r="C67" s="120">
        <f t="shared" si="10"/>
        <v>67</v>
      </c>
      <c r="D67" s="144" t="s">
        <v>47</v>
      </c>
      <c r="E67" s="126" t="s">
        <v>44</v>
      </c>
      <c r="F67" s="127">
        <v>6</v>
      </c>
      <c r="G67" s="127">
        <v>1000</v>
      </c>
      <c r="H67" s="141">
        <v>0.1</v>
      </c>
      <c r="I67" s="166"/>
      <c r="J67" s="156"/>
      <c r="K67" s="142"/>
      <c r="L67" s="129"/>
      <c r="U67" s="7">
        <f t="shared" si="7"/>
        <v>67</v>
      </c>
      <c r="AB67" s="7">
        <v>0</v>
      </c>
      <c r="AC67" s="7">
        <v>0</v>
      </c>
      <c r="AD67" s="7">
        <f t="shared" si="8"/>
        <v>0</v>
      </c>
      <c r="AE67" s="7">
        <f t="shared" si="6"/>
        <v>0</v>
      </c>
      <c r="AH67" s="7">
        <f t="shared" si="9"/>
      </c>
    </row>
    <row r="68" spans="1:34" ht="23.25">
      <c r="A68" s="137">
        <v>46</v>
      </c>
      <c r="B68" s="170" t="s">
        <v>109</v>
      </c>
      <c r="C68" s="130">
        <f t="shared" si="10"/>
        <v>68</v>
      </c>
      <c r="D68" s="153" t="s">
        <v>47</v>
      </c>
      <c r="E68" s="131" t="s">
        <v>44</v>
      </c>
      <c r="F68" s="132">
        <v>4</v>
      </c>
      <c r="G68" s="132">
        <v>300</v>
      </c>
      <c r="H68" s="133">
        <v>0.1</v>
      </c>
      <c r="I68" s="153" t="s">
        <v>275</v>
      </c>
      <c r="J68" s="157" t="str">
        <f>+"X =("&amp;O68&amp;"Q-"&amp;P68&amp;")/Q)"</f>
        <v>X =(2Q-50)/Q)</v>
      </c>
      <c r="K68" s="270"/>
      <c r="L68" s="271"/>
      <c r="O68" s="7">
        <v>2</v>
      </c>
      <c r="P68" s="7">
        <v>50</v>
      </c>
      <c r="Q68" s="7" t="s">
        <v>85</v>
      </c>
      <c r="U68" s="7">
        <f t="shared" si="7"/>
        <v>68</v>
      </c>
      <c r="AB68" s="7">
        <v>1</v>
      </c>
      <c r="AC68" s="7">
        <v>0</v>
      </c>
      <c r="AD68" s="7" t="str">
        <f t="shared" si="8"/>
        <v>F</v>
      </c>
      <c r="AE68" s="7" t="str">
        <f t="shared" si="6"/>
        <v>massa [t] Q
</v>
      </c>
      <c r="AH68" s="7" t="str">
        <f t="shared" si="9"/>
        <v>massa [t] Q
</v>
      </c>
    </row>
    <row r="69" spans="1:34" ht="33.75" customHeight="1">
      <c r="A69" s="304">
        <v>47</v>
      </c>
      <c r="B69" s="233" t="s">
        <v>110</v>
      </c>
      <c r="C69" s="120">
        <f t="shared" si="10"/>
        <v>69</v>
      </c>
      <c r="D69" s="283" t="s">
        <v>47</v>
      </c>
      <c r="E69" s="284" t="s">
        <v>44</v>
      </c>
      <c r="F69" s="285">
        <v>6</v>
      </c>
      <c r="G69" s="285">
        <v>1000</v>
      </c>
      <c r="H69" s="286">
        <v>0.1</v>
      </c>
      <c r="I69" s="247" t="s">
        <v>275</v>
      </c>
      <c r="J69" s="257" t="str">
        <f>+"X =("&amp;O69&amp;"Q-"&amp;P69&amp;")/Q)"</f>
        <v>X =(2Q-10)/Q)</v>
      </c>
      <c r="K69" s="142" t="s">
        <v>55</v>
      </c>
      <c r="L69" s="129">
        <v>0.6</v>
      </c>
      <c r="O69" s="7">
        <v>2</v>
      </c>
      <c r="P69" s="7">
        <v>10</v>
      </c>
      <c r="Q69" s="7" t="s">
        <v>112</v>
      </c>
      <c r="U69" s="7">
        <f t="shared" si="7"/>
        <v>69</v>
      </c>
      <c r="AB69" s="7">
        <v>1</v>
      </c>
      <c r="AC69" s="7">
        <v>0</v>
      </c>
      <c r="AD69" s="7" t="str">
        <f t="shared" si="8"/>
        <v>F</v>
      </c>
      <c r="AE69" s="7" t="str">
        <f t="shared" si="6"/>
        <v>massa [t] Q
</v>
      </c>
      <c r="AH69" s="7" t="str">
        <f t="shared" si="9"/>
        <v>massa [t] Q
</v>
      </c>
    </row>
    <row r="70" spans="1:34" ht="21.75" customHeight="1">
      <c r="A70" s="304"/>
      <c r="B70" s="234"/>
      <c r="C70" s="120">
        <f t="shared" si="10"/>
        <v>70</v>
      </c>
      <c r="D70" s="283"/>
      <c r="E70" s="284"/>
      <c r="F70" s="285"/>
      <c r="G70" s="285"/>
      <c r="H70" s="286"/>
      <c r="I70" s="248"/>
      <c r="J70" s="258"/>
      <c r="K70" s="128" t="s">
        <v>111</v>
      </c>
      <c r="L70" s="129">
        <v>1</v>
      </c>
      <c r="U70" s="7">
        <f t="shared" si="7"/>
        <v>70</v>
      </c>
      <c r="AB70" s="7">
        <v>0</v>
      </c>
      <c r="AC70" s="7">
        <v>0</v>
      </c>
      <c r="AD70" s="7">
        <f t="shared" si="8"/>
        <v>0</v>
      </c>
      <c r="AE70" s="7">
        <f t="shared" si="6"/>
        <v>0</v>
      </c>
      <c r="AH70" s="7">
        <f t="shared" si="9"/>
      </c>
    </row>
    <row r="71" spans="1:34" ht="23.25">
      <c r="A71" s="137">
        <v>48</v>
      </c>
      <c r="B71" s="170" t="s">
        <v>113</v>
      </c>
      <c r="C71" s="130">
        <f t="shared" si="10"/>
        <v>71</v>
      </c>
      <c r="D71" s="153" t="s">
        <v>114</v>
      </c>
      <c r="E71" s="131" t="s">
        <v>115</v>
      </c>
      <c r="F71" s="132">
        <v>30</v>
      </c>
      <c r="G71" s="276"/>
      <c r="H71" s="277"/>
      <c r="I71" s="270"/>
      <c r="J71" s="271"/>
      <c r="K71" s="270"/>
      <c r="L71" s="271"/>
      <c r="U71" s="7">
        <f t="shared" si="7"/>
        <v>71</v>
      </c>
      <c r="AB71" s="7">
        <v>0</v>
      </c>
      <c r="AC71" s="7">
        <v>0</v>
      </c>
      <c r="AD71" s="7">
        <f t="shared" si="8"/>
        <v>0</v>
      </c>
      <c r="AE71" s="7">
        <f t="shared" si="6"/>
        <v>0</v>
      </c>
      <c r="AH71" s="7">
        <f t="shared" si="9"/>
      </c>
    </row>
    <row r="72" spans="1:34" ht="27" customHeight="1">
      <c r="A72" s="304">
        <v>49</v>
      </c>
      <c r="B72" s="241" t="s">
        <v>116</v>
      </c>
      <c r="C72" s="120">
        <f t="shared" si="10"/>
        <v>72</v>
      </c>
      <c r="D72" s="283" t="s">
        <v>114</v>
      </c>
      <c r="E72" s="284" t="s">
        <v>117</v>
      </c>
      <c r="F72" s="285">
        <v>4</v>
      </c>
      <c r="G72" s="288"/>
      <c r="H72" s="289"/>
      <c r="I72" s="166" t="s">
        <v>118</v>
      </c>
      <c r="J72" s="156">
        <v>0.6</v>
      </c>
      <c r="K72" s="235"/>
      <c r="L72" s="236"/>
      <c r="U72" s="7">
        <f t="shared" si="7"/>
        <v>72</v>
      </c>
      <c r="AB72" s="7">
        <v>0</v>
      </c>
      <c r="AC72" s="7">
        <v>0</v>
      </c>
      <c r="AD72" s="7">
        <f t="shared" si="8"/>
        <v>0.6</v>
      </c>
      <c r="AE72" s="7" t="str">
        <f t="shared" si="6"/>
        <v>Isolato o all'esterno</v>
      </c>
      <c r="AH72" s="7" t="str">
        <f t="shared" si="9"/>
        <v>Isolato o all'esterno</v>
      </c>
    </row>
    <row r="73" spans="1:34" ht="22.5">
      <c r="A73" s="304"/>
      <c r="B73" s="242"/>
      <c r="C73" s="120">
        <f t="shared" si="10"/>
        <v>73</v>
      </c>
      <c r="D73" s="283"/>
      <c r="E73" s="284"/>
      <c r="F73" s="285"/>
      <c r="G73" s="290"/>
      <c r="H73" s="291"/>
      <c r="I73" s="144" t="s">
        <v>278</v>
      </c>
      <c r="J73" s="156">
        <v>1</v>
      </c>
      <c r="K73" s="237"/>
      <c r="L73" s="238"/>
      <c r="U73" s="7">
        <f t="shared" si="7"/>
        <v>73</v>
      </c>
      <c r="AB73" s="7">
        <v>0</v>
      </c>
      <c r="AC73" s="7">
        <v>0</v>
      </c>
      <c r="AD73" s="7">
        <f t="shared" si="8"/>
        <v>1</v>
      </c>
      <c r="AE73" s="7" t="str">
        <f t="shared" si="6"/>
        <v>All'intero di edificio</v>
      </c>
      <c r="AH73" s="7" t="str">
        <f t="shared" si="9"/>
        <v>All'intero di edificio</v>
      </c>
    </row>
    <row r="74" spans="1:34" ht="23.25">
      <c r="A74" s="137">
        <v>50</v>
      </c>
      <c r="B74" s="170" t="s">
        <v>120</v>
      </c>
      <c r="C74" s="130">
        <f t="shared" si="10"/>
        <v>74</v>
      </c>
      <c r="D74" s="153" t="s">
        <v>47</v>
      </c>
      <c r="E74" s="131" t="s">
        <v>44</v>
      </c>
      <c r="F74" s="132">
        <v>6</v>
      </c>
      <c r="G74" s="132">
        <v>1000</v>
      </c>
      <c r="H74" s="133">
        <v>0.1</v>
      </c>
      <c r="I74" s="270"/>
      <c r="J74" s="271"/>
      <c r="K74" s="270"/>
      <c r="L74" s="271"/>
      <c r="U74" s="7">
        <f t="shared" si="7"/>
        <v>74</v>
      </c>
      <c r="AB74" s="7">
        <v>0</v>
      </c>
      <c r="AC74" s="7">
        <v>0</v>
      </c>
      <c r="AD74" s="7">
        <f t="shared" si="8"/>
        <v>0</v>
      </c>
      <c r="AE74" s="7">
        <f t="shared" si="6"/>
        <v>0</v>
      </c>
      <c r="AH74" s="7">
        <f t="shared" si="9"/>
      </c>
    </row>
    <row r="75" spans="1:34" ht="34.5">
      <c r="A75" s="138">
        <v>51</v>
      </c>
      <c r="B75" s="171" t="s">
        <v>121</v>
      </c>
      <c r="C75" s="120">
        <f t="shared" si="10"/>
        <v>75</v>
      </c>
      <c r="D75" s="144" t="s">
        <v>47</v>
      </c>
      <c r="E75" s="126" t="s">
        <v>44</v>
      </c>
      <c r="F75" s="127">
        <v>6</v>
      </c>
      <c r="G75" s="127">
        <v>1000</v>
      </c>
      <c r="H75" s="141">
        <v>0.1</v>
      </c>
      <c r="I75" s="272"/>
      <c r="J75" s="273"/>
      <c r="K75" s="272"/>
      <c r="L75" s="273"/>
      <c r="U75" s="7">
        <f t="shared" si="7"/>
        <v>75</v>
      </c>
      <c r="AB75" s="7">
        <v>0</v>
      </c>
      <c r="AC75" s="7">
        <v>0</v>
      </c>
      <c r="AD75" s="7">
        <f t="shared" si="8"/>
        <v>0</v>
      </c>
      <c r="AE75" s="7">
        <f t="shared" si="6"/>
        <v>0</v>
      </c>
      <c r="AH75" s="7">
        <f t="shared" si="9"/>
      </c>
    </row>
    <row r="76" spans="1:34" ht="28.5" customHeight="1">
      <c r="A76" s="137">
        <v>52</v>
      </c>
      <c r="B76" s="170" t="s">
        <v>122</v>
      </c>
      <c r="C76" s="130">
        <f t="shared" si="10"/>
        <v>76</v>
      </c>
      <c r="D76" s="153" t="s">
        <v>47</v>
      </c>
      <c r="E76" s="131" t="s">
        <v>44</v>
      </c>
      <c r="F76" s="132">
        <v>8</v>
      </c>
      <c r="G76" s="132">
        <v>1000</v>
      </c>
      <c r="H76" s="133">
        <v>0.1</v>
      </c>
      <c r="I76" s="270"/>
      <c r="J76" s="271"/>
      <c r="K76" s="270"/>
      <c r="L76" s="271"/>
      <c r="U76" s="7">
        <f t="shared" si="7"/>
        <v>76</v>
      </c>
      <c r="AB76" s="7">
        <v>0</v>
      </c>
      <c r="AC76" s="7">
        <v>0</v>
      </c>
      <c r="AD76" s="7">
        <f t="shared" si="8"/>
        <v>0</v>
      </c>
      <c r="AE76" s="7">
        <f t="shared" si="6"/>
        <v>0</v>
      </c>
      <c r="AH76" s="7">
        <f t="shared" si="9"/>
      </c>
    </row>
    <row r="77" spans="1:34" ht="39" customHeight="1">
      <c r="A77" s="304">
        <v>53</v>
      </c>
      <c r="B77" s="241" t="s">
        <v>123</v>
      </c>
      <c r="C77" s="120">
        <f t="shared" si="10"/>
        <v>77</v>
      </c>
      <c r="D77" s="283" t="s">
        <v>47</v>
      </c>
      <c r="E77" s="284" t="s">
        <v>44</v>
      </c>
      <c r="F77" s="285">
        <v>6</v>
      </c>
      <c r="G77" s="285">
        <v>1000</v>
      </c>
      <c r="H77" s="286">
        <v>0.1</v>
      </c>
      <c r="I77" s="166" t="s">
        <v>124</v>
      </c>
      <c r="J77" s="156">
        <v>1</v>
      </c>
      <c r="K77" s="235"/>
      <c r="L77" s="236"/>
      <c r="U77" s="7">
        <f t="shared" si="7"/>
        <v>77</v>
      </c>
      <c r="AB77" s="7">
        <v>0</v>
      </c>
      <c r="AC77" s="7">
        <v>0</v>
      </c>
      <c r="AD77" s="7">
        <f t="shared" si="8"/>
        <v>1</v>
      </c>
      <c r="AE77" s="7" t="str">
        <f t="shared" si="6"/>
        <v>Solo Veicoli a motore</v>
      </c>
      <c r="AH77" s="7" t="str">
        <f t="shared" si="9"/>
        <v>Solo Veicoli a motore</v>
      </c>
    </row>
    <row r="78" spans="1:34" ht="22.5">
      <c r="A78" s="304"/>
      <c r="B78" s="242"/>
      <c r="C78" s="120">
        <f t="shared" si="10"/>
        <v>78</v>
      </c>
      <c r="D78" s="283"/>
      <c r="E78" s="284"/>
      <c r="F78" s="285"/>
      <c r="G78" s="285"/>
      <c r="H78" s="286"/>
      <c r="I78" s="144" t="s">
        <v>125</v>
      </c>
      <c r="J78" s="156">
        <v>0.6</v>
      </c>
      <c r="K78" s="237"/>
      <c r="L78" s="238"/>
      <c r="U78" s="7">
        <f t="shared" si="7"/>
        <v>78</v>
      </c>
      <c r="AB78" s="7">
        <v>0</v>
      </c>
      <c r="AC78" s="7">
        <v>0</v>
      </c>
      <c r="AD78" s="7">
        <f t="shared" si="8"/>
        <v>0.6</v>
      </c>
      <c r="AE78" s="7" t="str">
        <f t="shared" si="6"/>
        <v>Aeromobili o treni</v>
      </c>
      <c r="AH78" s="7" t="str">
        <f t="shared" si="9"/>
        <v>Aeromobili o treni</v>
      </c>
    </row>
    <row r="79" spans="1:34" ht="15">
      <c r="A79" s="137">
        <v>54</v>
      </c>
      <c r="B79" s="170" t="s">
        <v>126</v>
      </c>
      <c r="C79" s="130">
        <f t="shared" si="10"/>
        <v>79</v>
      </c>
      <c r="D79" s="153" t="s">
        <v>47</v>
      </c>
      <c r="E79" s="131" t="s">
        <v>44</v>
      </c>
      <c r="F79" s="132">
        <v>6</v>
      </c>
      <c r="G79" s="132">
        <v>1000</v>
      </c>
      <c r="H79" s="133">
        <v>0.1</v>
      </c>
      <c r="I79" s="270"/>
      <c r="J79" s="271"/>
      <c r="K79" s="270"/>
      <c r="L79" s="271"/>
      <c r="U79" s="7">
        <f t="shared" si="7"/>
        <v>79</v>
      </c>
      <c r="AB79" s="7">
        <v>0</v>
      </c>
      <c r="AC79" s="7">
        <v>0</v>
      </c>
      <c r="AD79" s="7">
        <f t="shared" si="8"/>
        <v>0</v>
      </c>
      <c r="AE79" s="7">
        <f t="shared" si="6"/>
        <v>0</v>
      </c>
      <c r="AH79" s="7">
        <f t="shared" si="9"/>
      </c>
    </row>
    <row r="80" spans="1:34" ht="23.25">
      <c r="A80" s="138">
        <v>55</v>
      </c>
      <c r="B80" s="171" t="s">
        <v>127</v>
      </c>
      <c r="C80" s="120">
        <f t="shared" si="10"/>
        <v>80</v>
      </c>
      <c r="D80" s="144" t="s">
        <v>47</v>
      </c>
      <c r="E80" s="126" t="s">
        <v>44</v>
      </c>
      <c r="F80" s="127">
        <v>6</v>
      </c>
      <c r="G80" s="127">
        <v>1000</v>
      </c>
      <c r="H80" s="141">
        <v>0.1</v>
      </c>
      <c r="I80" s="272"/>
      <c r="J80" s="273"/>
      <c r="K80" s="272"/>
      <c r="L80" s="273"/>
      <c r="U80" s="7">
        <f t="shared" si="7"/>
        <v>80</v>
      </c>
      <c r="AB80" s="7">
        <v>0</v>
      </c>
      <c r="AC80" s="7">
        <v>0</v>
      </c>
      <c r="AD80" s="7">
        <f t="shared" si="8"/>
        <v>0</v>
      </c>
      <c r="AE80" s="7">
        <f t="shared" si="6"/>
        <v>0</v>
      </c>
      <c r="AH80" s="7">
        <f t="shared" si="9"/>
      </c>
    </row>
    <row r="81" spans="1:34" ht="23.25">
      <c r="A81" s="137">
        <v>56</v>
      </c>
      <c r="B81" s="170" t="s">
        <v>128</v>
      </c>
      <c r="C81" s="130">
        <f t="shared" si="10"/>
        <v>81</v>
      </c>
      <c r="D81" s="153" t="s">
        <v>47</v>
      </c>
      <c r="E81" s="131" t="s">
        <v>44</v>
      </c>
      <c r="F81" s="132">
        <v>6</v>
      </c>
      <c r="G81" s="132">
        <v>1000</v>
      </c>
      <c r="H81" s="133">
        <v>0.1</v>
      </c>
      <c r="I81" s="270"/>
      <c r="J81" s="271"/>
      <c r="K81" s="270"/>
      <c r="L81" s="271"/>
      <c r="U81" s="7">
        <f t="shared" si="7"/>
        <v>81</v>
      </c>
      <c r="AB81" s="7">
        <v>0</v>
      </c>
      <c r="AC81" s="7">
        <v>0</v>
      </c>
      <c r="AD81" s="7">
        <f t="shared" si="8"/>
        <v>0</v>
      </c>
      <c r="AE81" s="7">
        <f t="shared" si="6"/>
        <v>0</v>
      </c>
      <c r="AH81" s="7">
        <f t="shared" si="9"/>
      </c>
    </row>
    <row r="82" spans="1:34" ht="15">
      <c r="A82" s="138">
        <v>57</v>
      </c>
      <c r="B82" s="171" t="s">
        <v>129</v>
      </c>
      <c r="C82" s="120">
        <f t="shared" si="10"/>
        <v>82</v>
      </c>
      <c r="D82" s="144" t="s">
        <v>47</v>
      </c>
      <c r="E82" s="126" t="s">
        <v>44</v>
      </c>
      <c r="F82" s="127">
        <v>6</v>
      </c>
      <c r="G82" s="127">
        <v>1000</v>
      </c>
      <c r="H82" s="141">
        <v>0.1</v>
      </c>
      <c r="I82" s="272"/>
      <c r="J82" s="273"/>
      <c r="K82" s="272"/>
      <c r="L82" s="273"/>
      <c r="U82" s="7">
        <f t="shared" si="7"/>
        <v>82</v>
      </c>
      <c r="AB82" s="7">
        <v>0</v>
      </c>
      <c r="AC82" s="7">
        <v>0</v>
      </c>
      <c r="AD82" s="7">
        <f t="shared" si="8"/>
        <v>0</v>
      </c>
      <c r="AE82" s="7">
        <f t="shared" si="6"/>
        <v>0</v>
      </c>
      <c r="AH82" s="7">
        <f t="shared" si="9"/>
      </c>
    </row>
    <row r="83" spans="1:34" ht="27" customHeight="1">
      <c r="A83" s="305">
        <v>58</v>
      </c>
      <c r="B83" s="223" t="s">
        <v>130</v>
      </c>
      <c r="C83" s="130">
        <f t="shared" si="10"/>
        <v>83</v>
      </c>
      <c r="D83" s="259" t="s">
        <v>47</v>
      </c>
      <c r="E83" s="260" t="s">
        <v>44</v>
      </c>
      <c r="F83" s="261">
        <v>6</v>
      </c>
      <c r="G83" s="261">
        <v>1000</v>
      </c>
      <c r="H83" s="287">
        <v>0.1</v>
      </c>
      <c r="I83" s="164" t="s">
        <v>218</v>
      </c>
      <c r="J83" s="157">
        <v>1</v>
      </c>
      <c r="K83" s="264"/>
      <c r="L83" s="265"/>
      <c r="U83" s="7">
        <f t="shared" si="7"/>
        <v>83</v>
      </c>
      <c r="AB83" s="7">
        <v>0</v>
      </c>
      <c r="AC83" s="7">
        <v>0</v>
      </c>
      <c r="AD83" s="7">
        <f t="shared" si="8"/>
        <v>1</v>
      </c>
      <c r="AE83" s="7" t="str">
        <f t="shared" si="6"/>
        <v>Categoria B</v>
      </c>
      <c r="AH83" s="7" t="str">
        <f t="shared" si="9"/>
        <v>Categoria B</v>
      </c>
    </row>
    <row r="84" spans="1:34" ht="26.25" customHeight="1">
      <c r="A84" s="305"/>
      <c r="B84" s="224"/>
      <c r="C84" s="130">
        <f t="shared" si="10"/>
        <v>84</v>
      </c>
      <c r="D84" s="259"/>
      <c r="E84" s="260"/>
      <c r="F84" s="261"/>
      <c r="G84" s="261"/>
      <c r="H84" s="287"/>
      <c r="I84" s="153" t="s">
        <v>217</v>
      </c>
      <c r="J84" s="157">
        <v>1.5</v>
      </c>
      <c r="K84" s="274"/>
      <c r="L84" s="275"/>
      <c r="U84" s="7">
        <f t="shared" si="7"/>
        <v>84</v>
      </c>
      <c r="AB84" s="7">
        <v>0</v>
      </c>
      <c r="AC84" s="7">
        <v>0</v>
      </c>
      <c r="AD84" s="7">
        <f t="shared" si="8"/>
        <v>1.5</v>
      </c>
      <c r="AE84" s="7" t="str">
        <f t="shared" si="6"/>
        <v>Categoria A</v>
      </c>
      <c r="AH84" s="7" t="str">
        <f t="shared" si="9"/>
        <v>Categoria A</v>
      </c>
    </row>
    <row r="85" spans="1:34" ht="59.25" customHeight="1">
      <c r="A85" s="138">
        <v>59</v>
      </c>
      <c r="B85" s="171" t="s">
        <v>131</v>
      </c>
      <c r="C85" s="120">
        <f t="shared" si="10"/>
        <v>85</v>
      </c>
      <c r="D85" s="227" t="s">
        <v>370</v>
      </c>
      <c r="E85" s="228"/>
      <c r="F85" s="228"/>
      <c r="G85" s="228"/>
      <c r="H85" s="228"/>
      <c r="I85" s="228"/>
      <c r="J85" s="228"/>
      <c r="K85" s="228"/>
      <c r="L85" s="229"/>
      <c r="U85" s="7">
        <f t="shared" si="7"/>
        <v>85</v>
      </c>
      <c r="AB85" s="7">
        <v>0</v>
      </c>
      <c r="AC85" s="7">
        <v>0</v>
      </c>
      <c r="AD85" s="7">
        <f t="shared" si="8"/>
        <v>0</v>
      </c>
      <c r="AE85" s="7">
        <f t="shared" si="6"/>
        <v>0</v>
      </c>
      <c r="AH85" s="7">
        <f t="shared" si="9"/>
      </c>
    </row>
    <row r="86" spans="1:34" ht="45.75" customHeight="1">
      <c r="A86" s="137">
        <v>60</v>
      </c>
      <c r="B86" s="170" t="s">
        <v>132</v>
      </c>
      <c r="C86" s="130">
        <f t="shared" si="10"/>
        <v>86</v>
      </c>
      <c r="D86" s="230" t="s">
        <v>370</v>
      </c>
      <c r="E86" s="231"/>
      <c r="F86" s="231"/>
      <c r="G86" s="231"/>
      <c r="H86" s="231"/>
      <c r="I86" s="231"/>
      <c r="J86" s="231"/>
      <c r="K86" s="231"/>
      <c r="L86" s="232"/>
      <c r="U86" s="7">
        <f t="shared" si="7"/>
        <v>86</v>
      </c>
      <c r="AB86" s="7">
        <v>0</v>
      </c>
      <c r="AC86" s="7">
        <v>0</v>
      </c>
      <c r="AD86" s="7">
        <f t="shared" si="8"/>
        <v>0</v>
      </c>
      <c r="AE86" s="7">
        <f t="shared" si="6"/>
        <v>0</v>
      </c>
      <c r="AH86" s="7">
        <f t="shared" si="9"/>
      </c>
    </row>
    <row r="87" spans="1:34" ht="23.25">
      <c r="A87" s="138">
        <v>61</v>
      </c>
      <c r="B87" s="171" t="s">
        <v>133</v>
      </c>
      <c r="C87" s="120">
        <f t="shared" si="10"/>
        <v>87</v>
      </c>
      <c r="D87" s="227" t="s">
        <v>370</v>
      </c>
      <c r="E87" s="228"/>
      <c r="F87" s="228"/>
      <c r="G87" s="228"/>
      <c r="H87" s="228"/>
      <c r="I87" s="228"/>
      <c r="J87" s="228"/>
      <c r="K87" s="228"/>
      <c r="L87" s="229"/>
      <c r="U87" s="7">
        <f t="shared" si="7"/>
        <v>87</v>
      </c>
      <c r="AB87" s="7">
        <v>0</v>
      </c>
      <c r="AC87" s="7">
        <v>0</v>
      </c>
      <c r="AD87" s="7">
        <f t="shared" si="8"/>
        <v>0</v>
      </c>
      <c r="AE87" s="7">
        <f t="shared" si="6"/>
        <v>0</v>
      </c>
      <c r="AH87" s="7">
        <f t="shared" si="9"/>
      </c>
    </row>
    <row r="88" spans="1:34" ht="23.25">
      <c r="A88" s="137">
        <v>62</v>
      </c>
      <c r="B88" s="170" t="s">
        <v>134</v>
      </c>
      <c r="C88" s="130">
        <f t="shared" si="10"/>
        <v>88</v>
      </c>
      <c r="D88" s="230" t="s">
        <v>370</v>
      </c>
      <c r="E88" s="231"/>
      <c r="F88" s="231"/>
      <c r="G88" s="231"/>
      <c r="H88" s="231"/>
      <c r="I88" s="231"/>
      <c r="J88" s="231"/>
      <c r="K88" s="231"/>
      <c r="L88" s="232"/>
      <c r="U88" s="7">
        <f t="shared" si="7"/>
        <v>88</v>
      </c>
      <c r="AB88" s="7">
        <v>0</v>
      </c>
      <c r="AC88" s="7">
        <v>0</v>
      </c>
      <c r="AD88" s="7">
        <f t="shared" si="8"/>
        <v>0</v>
      </c>
      <c r="AE88" s="7">
        <f t="shared" si="6"/>
        <v>0</v>
      </c>
      <c r="AH88" s="7">
        <f t="shared" si="9"/>
      </c>
    </row>
    <row r="89" spans="1:34" ht="34.5">
      <c r="A89" s="138">
        <v>63</v>
      </c>
      <c r="B89" s="171" t="s">
        <v>135</v>
      </c>
      <c r="C89" s="120">
        <f t="shared" si="10"/>
        <v>89</v>
      </c>
      <c r="D89" s="144" t="s">
        <v>47</v>
      </c>
      <c r="E89" s="126" t="s">
        <v>44</v>
      </c>
      <c r="F89" s="127">
        <v>4</v>
      </c>
      <c r="G89" s="127">
        <v>1000</v>
      </c>
      <c r="H89" s="141">
        <v>0.1</v>
      </c>
      <c r="I89" s="144" t="s">
        <v>279</v>
      </c>
      <c r="J89" s="156" t="str">
        <f>+"X =("&amp;O89&amp;"Q-"&amp;P89&amp;")/Q)"</f>
        <v>X =(2Q-500)/Q)</v>
      </c>
      <c r="K89" s="272"/>
      <c r="L89" s="273"/>
      <c r="O89" s="7">
        <v>2</v>
      </c>
      <c r="P89" s="7">
        <v>500</v>
      </c>
      <c r="Q89" s="7" t="s">
        <v>136</v>
      </c>
      <c r="U89" s="7">
        <f t="shared" si="7"/>
        <v>89</v>
      </c>
      <c r="AB89" s="7">
        <v>0</v>
      </c>
      <c r="AC89" s="7">
        <v>0</v>
      </c>
      <c r="AD89" s="7" t="str">
        <f t="shared" si="8"/>
        <v>F</v>
      </c>
      <c r="AE89" s="7" t="str">
        <f t="shared" si="6"/>
        <v>massa [kg] Q</v>
      </c>
      <c r="AH89" s="7" t="str">
        <f t="shared" si="9"/>
        <v>massa [kg] Q</v>
      </c>
    </row>
    <row r="90" spans="1:34" ht="15">
      <c r="A90" s="137">
        <v>64</v>
      </c>
      <c r="B90" s="170" t="s">
        <v>138</v>
      </c>
      <c r="C90" s="130">
        <f t="shared" si="10"/>
        <v>90</v>
      </c>
      <c r="D90" s="153" t="s">
        <v>47</v>
      </c>
      <c r="E90" s="131" t="s">
        <v>44</v>
      </c>
      <c r="F90" s="132">
        <v>6</v>
      </c>
      <c r="G90" s="132">
        <v>300</v>
      </c>
      <c r="H90" s="133">
        <v>0.1</v>
      </c>
      <c r="I90" s="270"/>
      <c r="J90" s="271"/>
      <c r="K90" s="270"/>
      <c r="L90" s="271"/>
      <c r="U90" s="7">
        <f t="shared" si="7"/>
        <v>90</v>
      </c>
      <c r="AB90" s="7">
        <v>0</v>
      </c>
      <c r="AC90" s="7">
        <v>0</v>
      </c>
      <c r="AD90" s="7">
        <f t="shared" si="8"/>
        <v>0</v>
      </c>
      <c r="AE90" s="7">
        <f t="shared" si="6"/>
        <v>0</v>
      </c>
      <c r="AH90" s="7">
        <f t="shared" si="9"/>
      </c>
    </row>
    <row r="91" spans="1:34" ht="45.75">
      <c r="A91" s="138">
        <v>65</v>
      </c>
      <c r="B91" s="171" t="s">
        <v>139</v>
      </c>
      <c r="C91" s="120">
        <f t="shared" si="10"/>
        <v>91</v>
      </c>
      <c r="D91" s="144" t="s">
        <v>47</v>
      </c>
      <c r="E91" s="126" t="s">
        <v>44</v>
      </c>
      <c r="F91" s="127">
        <v>6</v>
      </c>
      <c r="G91" s="127">
        <v>1000</v>
      </c>
      <c r="H91" s="141">
        <v>0.4</v>
      </c>
      <c r="I91" s="144" t="s">
        <v>280</v>
      </c>
      <c r="J91" s="156" t="str">
        <f>+"X =("&amp;O91&amp;"P-"&amp;P91&amp;")/P)"</f>
        <v>X =(3P-200)/P)</v>
      </c>
      <c r="K91" s="272"/>
      <c r="L91" s="273"/>
      <c r="O91" s="7">
        <v>3</v>
      </c>
      <c r="P91" s="7">
        <v>200</v>
      </c>
      <c r="Q91" s="7" t="s">
        <v>141</v>
      </c>
      <c r="U91" s="7">
        <f t="shared" si="7"/>
        <v>91</v>
      </c>
      <c r="V91" s="7">
        <v>3</v>
      </c>
      <c r="W91" s="7">
        <v>100</v>
      </c>
      <c r="AB91" s="7">
        <v>1</v>
      </c>
      <c r="AC91" s="7">
        <v>0</v>
      </c>
      <c r="AD91" s="7" t="str">
        <f t="shared" si="8"/>
        <v>F</v>
      </c>
      <c r="AE91" s="7" t="str">
        <f t="shared" si="6"/>
        <v>Persone P
</v>
      </c>
      <c r="AH91" s="7" t="str">
        <f t="shared" si="9"/>
        <v>Persone P
</v>
      </c>
    </row>
    <row r="92" spans="1:34" ht="57">
      <c r="A92" s="148">
        <v>66</v>
      </c>
      <c r="B92" s="172" t="s">
        <v>140</v>
      </c>
      <c r="C92" s="149">
        <f t="shared" si="10"/>
        <v>92</v>
      </c>
      <c r="D92" s="167" t="s">
        <v>47</v>
      </c>
      <c r="E92" s="150" t="s">
        <v>44</v>
      </c>
      <c r="F92" s="151">
        <v>6</v>
      </c>
      <c r="G92" s="151">
        <v>1000</v>
      </c>
      <c r="H92" s="133">
        <v>0.4</v>
      </c>
      <c r="I92" s="167" t="s">
        <v>281</v>
      </c>
      <c r="J92" s="159" t="str">
        <f>+"X =("&amp;O92&amp;"PL-"&amp;P92&amp;")/PL)"</f>
        <v>X =(2PL-25)/PL)</v>
      </c>
      <c r="K92" s="270"/>
      <c r="L92" s="271"/>
      <c r="O92" s="7">
        <v>2</v>
      </c>
      <c r="P92" s="7">
        <v>25</v>
      </c>
      <c r="Q92" s="7" t="s">
        <v>219</v>
      </c>
      <c r="U92" s="7">
        <f t="shared" si="7"/>
        <v>92</v>
      </c>
      <c r="AB92" s="7">
        <v>1</v>
      </c>
      <c r="AC92" s="7">
        <v>0</v>
      </c>
      <c r="AD92" s="7" t="str">
        <f t="shared" si="8"/>
        <v>F</v>
      </c>
      <c r="AE92" s="7" t="str">
        <f t="shared" si="6"/>
        <v>Posti Letto PL
</v>
      </c>
      <c r="AH92" s="7" t="str">
        <f t="shared" si="9"/>
        <v>Posti Letto PL
</v>
      </c>
    </row>
    <row r="93" spans="1:34" ht="23.25">
      <c r="A93" s="138">
        <v>67</v>
      </c>
      <c r="B93" s="171" t="s">
        <v>142</v>
      </c>
      <c r="C93" s="120">
        <f t="shared" si="10"/>
        <v>93</v>
      </c>
      <c r="D93" s="144" t="s">
        <v>47</v>
      </c>
      <c r="E93" s="126" t="s">
        <v>44</v>
      </c>
      <c r="F93" s="127">
        <v>4</v>
      </c>
      <c r="G93" s="127">
        <v>1000</v>
      </c>
      <c r="H93" s="141">
        <v>0.1</v>
      </c>
      <c r="I93" s="144" t="s">
        <v>280</v>
      </c>
      <c r="J93" s="156" t="str">
        <f>+"X =("&amp;O93&amp;"P-"&amp;P93&amp;")/P)"</f>
        <v>X =(3P-200)/P)</v>
      </c>
      <c r="K93" s="272"/>
      <c r="L93" s="273"/>
      <c r="O93" s="7">
        <v>3</v>
      </c>
      <c r="P93" s="7">
        <v>200</v>
      </c>
      <c r="U93" s="7">
        <f t="shared" si="7"/>
        <v>93</v>
      </c>
      <c r="AB93" s="7">
        <v>0</v>
      </c>
      <c r="AC93" s="7">
        <v>0</v>
      </c>
      <c r="AD93" s="7" t="str">
        <f t="shared" si="8"/>
        <v>F</v>
      </c>
      <c r="AE93" s="7" t="str">
        <f t="shared" si="6"/>
        <v>Persone P</v>
      </c>
      <c r="AH93" s="7" t="str">
        <f t="shared" si="9"/>
        <v>Persone P</v>
      </c>
    </row>
    <row r="94" spans="1:34" s="55" customFormat="1" ht="56.25">
      <c r="A94" s="137" t="s">
        <v>293</v>
      </c>
      <c r="B94" s="173" t="s">
        <v>143</v>
      </c>
      <c r="C94" s="152">
        <f t="shared" si="10"/>
        <v>94</v>
      </c>
      <c r="D94" s="153" t="s">
        <v>144</v>
      </c>
      <c r="E94" s="131" t="s">
        <v>44</v>
      </c>
      <c r="F94" s="132">
        <v>6</v>
      </c>
      <c r="G94" s="132">
        <v>3000</v>
      </c>
      <c r="H94" s="133">
        <v>0.4</v>
      </c>
      <c r="I94" s="153" t="s">
        <v>289</v>
      </c>
      <c r="J94" s="157" t="s">
        <v>291</v>
      </c>
      <c r="K94" s="153" t="s">
        <v>290</v>
      </c>
      <c r="L94" s="154" t="s">
        <v>292</v>
      </c>
      <c r="Q94" s="55" t="s">
        <v>145</v>
      </c>
      <c r="U94" s="55">
        <f t="shared" si="7"/>
        <v>94</v>
      </c>
      <c r="AB94" s="55">
        <v>0</v>
      </c>
      <c r="AC94" s="55">
        <v>0</v>
      </c>
      <c r="AD94" s="55" t="str">
        <f t="shared" si="8"/>
        <v>X = (Sx x 7)^0,5</v>
      </c>
      <c r="AE94" s="55" t="str">
        <f t="shared" si="6"/>
        <v>Sx - aree tipo B e/o F </v>
      </c>
      <c r="AH94" s="55" t="str">
        <f t="shared" si="9"/>
        <v>Sx - aree tipo B e/o F </v>
      </c>
    </row>
    <row r="95" spans="1:34" ht="34.5" customHeight="1">
      <c r="A95" s="304">
        <v>69</v>
      </c>
      <c r="B95" s="233" t="s">
        <v>146</v>
      </c>
      <c r="C95" s="120">
        <f t="shared" si="10"/>
        <v>95</v>
      </c>
      <c r="D95" s="283" t="s">
        <v>47</v>
      </c>
      <c r="E95" s="284" t="s">
        <v>44</v>
      </c>
      <c r="F95" s="285">
        <v>6</v>
      </c>
      <c r="G95" s="285">
        <v>1000</v>
      </c>
      <c r="H95" s="286">
        <v>0.3</v>
      </c>
      <c r="I95" s="166" t="s">
        <v>273</v>
      </c>
      <c r="J95" s="156">
        <v>0.8</v>
      </c>
      <c r="K95" s="235"/>
      <c r="L95" s="236"/>
      <c r="U95" s="7">
        <f t="shared" si="7"/>
        <v>95</v>
      </c>
      <c r="AB95" s="7">
        <v>1</v>
      </c>
      <c r="AC95" s="7">
        <v>1</v>
      </c>
      <c r="AD95" s="7">
        <f t="shared" si="8"/>
        <v>0.8</v>
      </c>
      <c r="AE95" s="7" t="str">
        <f t="shared" si="6"/>
        <v>Vendita Ingrosso
</v>
      </c>
      <c r="AH95" s="7" t="str">
        <f t="shared" si="9"/>
        <v>Vendita Ingrosso
</v>
      </c>
    </row>
    <row r="96" spans="1:34" ht="15">
      <c r="A96" s="304"/>
      <c r="B96" s="234"/>
      <c r="C96" s="120">
        <f t="shared" si="10"/>
        <v>96</v>
      </c>
      <c r="D96" s="283"/>
      <c r="E96" s="284"/>
      <c r="F96" s="285"/>
      <c r="G96" s="285"/>
      <c r="H96" s="286"/>
      <c r="I96" s="166" t="s">
        <v>147</v>
      </c>
      <c r="J96" s="156">
        <v>1</v>
      </c>
      <c r="K96" s="237"/>
      <c r="L96" s="238"/>
      <c r="U96" s="7">
        <f t="shared" si="7"/>
        <v>96</v>
      </c>
      <c r="AC96" s="7">
        <v>0</v>
      </c>
      <c r="AD96" s="7">
        <f t="shared" si="8"/>
        <v>1</v>
      </c>
      <c r="AE96" s="7" t="str">
        <f aca="true" t="shared" si="11" ref="AE96:AE112">+IF(AB96=1,I96&amp;CHAR(10)&amp;"",I96)</f>
        <v>Vendita Dettaglio</v>
      </c>
      <c r="AH96" s="7" t="str">
        <f t="shared" si="9"/>
        <v>Vendita Dettaglio</v>
      </c>
    </row>
    <row r="97" spans="1:34" ht="23.25">
      <c r="A97" s="137">
        <v>70</v>
      </c>
      <c r="B97" s="170" t="s">
        <v>148</v>
      </c>
      <c r="C97" s="130">
        <f t="shared" si="10"/>
        <v>97</v>
      </c>
      <c r="D97" s="153" t="s">
        <v>47</v>
      </c>
      <c r="E97" s="131" t="s">
        <v>44</v>
      </c>
      <c r="F97" s="132">
        <v>4</v>
      </c>
      <c r="G97" s="132">
        <v>1000</v>
      </c>
      <c r="H97" s="133">
        <v>0.1</v>
      </c>
      <c r="I97" s="153" t="s">
        <v>275</v>
      </c>
      <c r="J97" s="157" t="str">
        <f>+"X =("&amp;O97&amp;"Q-"&amp;P97&amp;")/Q)"</f>
        <v>X =(2Q-5)/Q)</v>
      </c>
      <c r="K97" s="270"/>
      <c r="L97" s="271"/>
      <c r="O97" s="7">
        <v>2</v>
      </c>
      <c r="P97" s="7">
        <v>5</v>
      </c>
      <c r="Q97" s="7" t="s">
        <v>95</v>
      </c>
      <c r="U97" s="7">
        <f t="shared" si="7"/>
        <v>97</v>
      </c>
      <c r="AB97" s="7">
        <v>1</v>
      </c>
      <c r="AC97" s="7">
        <v>0</v>
      </c>
      <c r="AD97" s="7" t="str">
        <f t="shared" si="8"/>
        <v>F</v>
      </c>
      <c r="AE97" s="7" t="str">
        <f t="shared" si="11"/>
        <v>massa [t] Q
</v>
      </c>
      <c r="AH97" s="7" t="str">
        <f t="shared" si="9"/>
        <v>massa [t] Q
</v>
      </c>
    </row>
    <row r="98" spans="1:34" ht="15">
      <c r="A98" s="138">
        <v>71</v>
      </c>
      <c r="B98" s="171" t="s">
        <v>149</v>
      </c>
      <c r="C98" s="120">
        <f t="shared" si="10"/>
        <v>98</v>
      </c>
      <c r="D98" s="144" t="s">
        <v>47</v>
      </c>
      <c r="E98" s="126" t="s">
        <v>44</v>
      </c>
      <c r="F98" s="127">
        <v>6</v>
      </c>
      <c r="G98" s="127">
        <v>1000</v>
      </c>
      <c r="H98" s="141">
        <v>0.4</v>
      </c>
      <c r="I98" s="144" t="s">
        <v>280</v>
      </c>
      <c r="J98" s="156" t="str">
        <f>+"X =("&amp;O98&amp;"P-"&amp;P98&amp;")/P)"</f>
        <v>X =(3P-600)/P)</v>
      </c>
      <c r="K98" s="272"/>
      <c r="L98" s="273"/>
      <c r="O98" s="7">
        <v>3</v>
      </c>
      <c r="P98" s="7">
        <v>600</v>
      </c>
      <c r="Q98" s="7" t="s">
        <v>150</v>
      </c>
      <c r="U98" s="7">
        <f t="shared" si="7"/>
        <v>98</v>
      </c>
      <c r="AB98" s="7">
        <v>1</v>
      </c>
      <c r="AC98" s="7">
        <v>0</v>
      </c>
      <c r="AD98" s="7" t="str">
        <f t="shared" si="8"/>
        <v>F</v>
      </c>
      <c r="AE98" s="7" t="str">
        <f t="shared" si="11"/>
        <v>Persone P
</v>
      </c>
      <c r="AH98" s="7" t="str">
        <f t="shared" si="9"/>
        <v>Persone P
</v>
      </c>
    </row>
    <row r="99" spans="1:34" ht="39" customHeight="1">
      <c r="A99" s="305">
        <v>72</v>
      </c>
      <c r="B99" s="239" t="s">
        <v>154</v>
      </c>
      <c r="C99" s="130">
        <f t="shared" si="10"/>
        <v>99</v>
      </c>
      <c r="D99" s="259" t="s">
        <v>47</v>
      </c>
      <c r="E99" s="260" t="s">
        <v>44</v>
      </c>
      <c r="F99" s="261">
        <v>8</v>
      </c>
      <c r="G99" s="261">
        <v>1000</v>
      </c>
      <c r="H99" s="287">
        <v>0.3</v>
      </c>
      <c r="I99" s="164" t="s">
        <v>282</v>
      </c>
      <c r="J99" s="157">
        <v>1</v>
      </c>
      <c r="K99" s="264"/>
      <c r="L99" s="265"/>
      <c r="Q99" s="7" t="s">
        <v>157</v>
      </c>
      <c r="U99" s="7">
        <f t="shared" si="7"/>
        <v>99</v>
      </c>
      <c r="AB99" s="7">
        <v>0</v>
      </c>
      <c r="AC99" s="7">
        <v>0</v>
      </c>
      <c r="AD99" s="7">
        <f t="shared" si="8"/>
        <v>1</v>
      </c>
      <c r="AE99" s="7" t="str">
        <f t="shared" si="11"/>
        <v>Bibblioteche, musei e simili</v>
      </c>
      <c r="AH99" s="7" t="str">
        <f t="shared" si="9"/>
        <v>Bibblioteche, musei e simili</v>
      </c>
    </row>
    <row r="100" spans="1:34" ht="34.5" customHeight="1">
      <c r="A100" s="305"/>
      <c r="B100" s="240"/>
      <c r="C100" s="130">
        <f t="shared" si="10"/>
        <v>100</v>
      </c>
      <c r="D100" s="259"/>
      <c r="E100" s="260"/>
      <c r="F100" s="261"/>
      <c r="G100" s="261"/>
      <c r="H100" s="287"/>
      <c r="I100" s="153" t="s">
        <v>153</v>
      </c>
      <c r="J100" s="157">
        <v>0.3</v>
      </c>
      <c r="K100" s="274"/>
      <c r="L100" s="275"/>
      <c r="U100" s="7">
        <f t="shared" si="7"/>
        <v>100</v>
      </c>
      <c r="AA100" s="7">
        <f>+(3920*6)^0.5</f>
        <v>153.3623161014465</v>
      </c>
      <c r="AB100" s="7">
        <v>0</v>
      </c>
      <c r="AC100" s="7">
        <v>0</v>
      </c>
      <c r="AD100" s="7">
        <f t="shared" si="8"/>
        <v>0.3</v>
      </c>
      <c r="AE100" s="7" t="str">
        <f t="shared" si="11"/>
        <v>Altre attività soggette</v>
      </c>
      <c r="AH100" s="7" t="str">
        <f t="shared" si="9"/>
        <v>Altre attività soggette</v>
      </c>
    </row>
    <row r="101" spans="1:34" ht="43.5" customHeight="1">
      <c r="A101" s="304">
        <v>73</v>
      </c>
      <c r="B101" s="241" t="s">
        <v>151</v>
      </c>
      <c r="C101" s="120">
        <f t="shared" si="10"/>
        <v>101</v>
      </c>
      <c r="D101" s="283" t="s">
        <v>47</v>
      </c>
      <c r="E101" s="284" t="s">
        <v>44</v>
      </c>
      <c r="F101" s="285">
        <v>4</v>
      </c>
      <c r="G101" s="285">
        <v>1500</v>
      </c>
      <c r="H101" s="286">
        <v>0.1</v>
      </c>
      <c r="I101" s="166" t="s">
        <v>155</v>
      </c>
      <c r="J101" s="156">
        <v>1</v>
      </c>
      <c r="K101" s="235"/>
      <c r="L101" s="236"/>
      <c r="Q101" s="7" t="s">
        <v>158</v>
      </c>
      <c r="U101" s="7">
        <f t="shared" si="7"/>
        <v>101</v>
      </c>
      <c r="AB101" s="7">
        <v>0</v>
      </c>
      <c r="AC101" s="7">
        <v>0</v>
      </c>
      <c r="AD101" s="7">
        <f t="shared" si="8"/>
        <v>1</v>
      </c>
      <c r="AE101" s="7" t="str">
        <f t="shared" si="11"/>
        <v>Attività interne non soggette</v>
      </c>
      <c r="AH101" s="7" t="str">
        <f t="shared" si="9"/>
        <v>Attività interne non soggette</v>
      </c>
    </row>
    <row r="102" spans="1:34" ht="35.25" customHeight="1">
      <c r="A102" s="304"/>
      <c r="B102" s="242"/>
      <c r="C102" s="120">
        <f t="shared" si="10"/>
        <v>102</v>
      </c>
      <c r="D102" s="283"/>
      <c r="E102" s="284"/>
      <c r="F102" s="285"/>
      <c r="G102" s="285"/>
      <c r="H102" s="286"/>
      <c r="I102" s="166" t="s">
        <v>156</v>
      </c>
      <c r="J102" s="156">
        <v>0.2</v>
      </c>
      <c r="K102" s="237"/>
      <c r="L102" s="238"/>
      <c r="U102" s="7">
        <f t="shared" si="7"/>
        <v>102</v>
      </c>
      <c r="Z102" s="7">
        <v>8000</v>
      </c>
      <c r="AA102" s="7">
        <f>+Z102^0.5</f>
        <v>89.44271909999159</v>
      </c>
      <c r="AB102" s="7">
        <v>0</v>
      </c>
      <c r="AC102" s="7">
        <v>0</v>
      </c>
      <c r="AD102" s="7">
        <f t="shared" si="8"/>
        <v>0.2</v>
      </c>
      <c r="AE102" s="7" t="str">
        <f t="shared" si="11"/>
        <v>Attività interne soggette</v>
      </c>
      <c r="AH102" s="7" t="str">
        <f t="shared" si="9"/>
        <v>Attività interne soggette</v>
      </c>
    </row>
    <row r="103" spans="1:34" ht="23.25">
      <c r="A103" s="137">
        <v>74</v>
      </c>
      <c r="B103" s="170" t="s">
        <v>159</v>
      </c>
      <c r="C103" s="130">
        <f t="shared" si="10"/>
        <v>103</v>
      </c>
      <c r="D103" s="153" t="s">
        <v>114</v>
      </c>
      <c r="E103" s="131" t="s">
        <v>117</v>
      </c>
      <c r="F103" s="132">
        <v>4</v>
      </c>
      <c r="G103" s="278"/>
      <c r="H103" s="279"/>
      <c r="I103" s="270"/>
      <c r="J103" s="271"/>
      <c r="K103" s="270"/>
      <c r="L103" s="271"/>
      <c r="U103" s="7">
        <f t="shared" si="7"/>
        <v>103</v>
      </c>
      <c r="Z103" s="7">
        <f>1200*7</f>
        <v>8400</v>
      </c>
      <c r="AA103" s="7">
        <f>+Z103^0.5</f>
        <v>91.6515138991168</v>
      </c>
      <c r="AB103" s="7">
        <v>0</v>
      </c>
      <c r="AC103" s="7">
        <v>0</v>
      </c>
      <c r="AD103" s="7">
        <f t="shared" si="8"/>
        <v>0</v>
      </c>
      <c r="AE103" s="7">
        <f t="shared" si="11"/>
        <v>0</v>
      </c>
      <c r="AH103" s="7">
        <f t="shared" si="9"/>
      </c>
    </row>
    <row r="104" spans="1:34" ht="30" customHeight="1">
      <c r="A104" s="304">
        <v>75</v>
      </c>
      <c r="B104" s="221" t="s">
        <v>160</v>
      </c>
      <c r="C104" s="120">
        <f t="shared" si="10"/>
        <v>104</v>
      </c>
      <c r="D104" s="283" t="s">
        <v>47</v>
      </c>
      <c r="E104" s="284" t="s">
        <v>44</v>
      </c>
      <c r="F104" s="285">
        <v>6</v>
      </c>
      <c r="G104" s="285">
        <v>1000</v>
      </c>
      <c r="H104" s="286">
        <v>0.4</v>
      </c>
      <c r="I104" s="247" t="s">
        <v>284</v>
      </c>
      <c r="J104" s="257" t="str">
        <f>+"X =("&amp;O104&amp;"PI-"&amp;P104&amp;")/PI)"</f>
        <v>X =(2PI-0,8)/PI)</v>
      </c>
      <c r="K104" s="128" t="s">
        <v>161</v>
      </c>
      <c r="L104" s="129">
        <v>1</v>
      </c>
      <c r="O104" s="7">
        <v>2</v>
      </c>
      <c r="P104" s="7">
        <v>0.8</v>
      </c>
      <c r="Q104" s="7" t="s">
        <v>163</v>
      </c>
      <c r="U104" s="7">
        <f t="shared" si="7"/>
        <v>104</v>
      </c>
      <c r="AA104" s="7">
        <f>+AA103+AA102+AA100</f>
        <v>334.45654910055487</v>
      </c>
      <c r="AB104" s="7">
        <v>1</v>
      </c>
      <c r="AC104" s="7">
        <v>0</v>
      </c>
      <c r="AD104" s="7" t="str">
        <f t="shared" si="8"/>
        <v>F</v>
      </c>
      <c r="AE104" s="7" t="str">
        <f t="shared" si="11"/>
        <v>Numero di Piani Interrati PI
</v>
      </c>
      <c r="AH104" s="7" t="str">
        <f t="shared" si="9"/>
        <v>Numero di Piani Interrati PI
</v>
      </c>
    </row>
    <row r="105" spans="1:34" ht="26.25" customHeight="1">
      <c r="A105" s="304"/>
      <c r="B105" s="222"/>
      <c r="C105" s="120">
        <f t="shared" si="10"/>
        <v>105</v>
      </c>
      <c r="D105" s="283"/>
      <c r="E105" s="284"/>
      <c r="F105" s="285"/>
      <c r="G105" s="285"/>
      <c r="H105" s="286"/>
      <c r="I105" s="248"/>
      <c r="J105" s="258"/>
      <c r="K105" s="128" t="s">
        <v>162</v>
      </c>
      <c r="L105" s="129">
        <v>0.6</v>
      </c>
      <c r="U105" s="7">
        <f t="shared" si="7"/>
        <v>105</v>
      </c>
      <c r="AB105" s="7">
        <v>1</v>
      </c>
      <c r="AC105" s="7">
        <v>0</v>
      </c>
      <c r="AD105" s="7">
        <f t="shared" si="8"/>
        <v>0</v>
      </c>
      <c r="AE105" s="7" t="str">
        <f t="shared" si="11"/>
        <v>
</v>
      </c>
      <c r="AH105" s="7">
        <f t="shared" si="9"/>
      </c>
    </row>
    <row r="106" spans="1:34" ht="15">
      <c r="A106" s="137">
        <v>76</v>
      </c>
      <c r="B106" s="170" t="s">
        <v>164</v>
      </c>
      <c r="C106" s="130">
        <f t="shared" si="10"/>
        <v>106</v>
      </c>
      <c r="D106" s="153" t="s">
        <v>47</v>
      </c>
      <c r="E106" s="131" t="s">
        <v>44</v>
      </c>
      <c r="F106" s="132">
        <v>6</v>
      </c>
      <c r="G106" s="132">
        <v>1000</v>
      </c>
      <c r="H106" s="133">
        <v>0.1</v>
      </c>
      <c r="I106" s="270"/>
      <c r="J106" s="271"/>
      <c r="K106" s="270"/>
      <c r="L106" s="271"/>
      <c r="U106" s="7">
        <f t="shared" si="7"/>
        <v>106</v>
      </c>
      <c r="AB106" s="7">
        <v>0</v>
      </c>
      <c r="AC106" s="7">
        <v>0</v>
      </c>
      <c r="AD106" s="7">
        <f t="shared" si="8"/>
        <v>0</v>
      </c>
      <c r="AE106" s="7">
        <f t="shared" si="11"/>
        <v>0</v>
      </c>
      <c r="AH106" s="7">
        <f t="shared" si="9"/>
      </c>
    </row>
    <row r="107" spans="1:34" ht="15">
      <c r="A107" s="138">
        <v>77</v>
      </c>
      <c r="B107" s="171" t="s">
        <v>165</v>
      </c>
      <c r="C107" s="120">
        <f t="shared" si="10"/>
        <v>107</v>
      </c>
      <c r="D107" s="144" t="s">
        <v>166</v>
      </c>
      <c r="E107" s="126" t="s">
        <v>48</v>
      </c>
      <c r="F107" s="127">
        <v>6</v>
      </c>
      <c r="G107" s="127">
        <v>60</v>
      </c>
      <c r="H107" s="141">
        <v>0.3</v>
      </c>
      <c r="I107" s="144" t="s">
        <v>283</v>
      </c>
      <c r="J107" s="156" t="str">
        <f>+"X =("&amp;O107&amp;"SC-"&amp;P107&amp;")/SC)"</f>
        <v>X =(2SC-1)/SC)</v>
      </c>
      <c r="K107" s="272"/>
      <c r="L107" s="273"/>
      <c r="O107" s="7">
        <v>2</v>
      </c>
      <c r="P107" s="7">
        <v>1</v>
      </c>
      <c r="Q107" s="7" t="s">
        <v>163</v>
      </c>
      <c r="U107" s="7">
        <f t="shared" si="7"/>
        <v>107</v>
      </c>
      <c r="AB107" s="7">
        <v>1</v>
      </c>
      <c r="AC107" s="7">
        <v>0</v>
      </c>
      <c r="AD107" s="7" t="str">
        <f t="shared" si="8"/>
        <v>F</v>
      </c>
      <c r="AE107" s="7" t="str">
        <f t="shared" si="11"/>
        <v>Numero Scale SC
</v>
      </c>
      <c r="AH107" s="7" t="str">
        <f t="shared" si="9"/>
        <v>Numero Scale SC
</v>
      </c>
    </row>
    <row r="108" spans="1:34" ht="39" customHeight="1">
      <c r="A108" s="305">
        <v>78</v>
      </c>
      <c r="B108" s="223" t="s">
        <v>167</v>
      </c>
      <c r="C108" s="130">
        <f t="shared" si="10"/>
        <v>108</v>
      </c>
      <c r="D108" s="153" t="s">
        <v>168</v>
      </c>
      <c r="E108" s="131" t="s">
        <v>44</v>
      </c>
      <c r="F108" s="132">
        <v>8</v>
      </c>
      <c r="G108" s="132">
        <v>5000</v>
      </c>
      <c r="H108" s="133">
        <v>0.4</v>
      </c>
      <c r="I108" s="153" t="s">
        <v>170</v>
      </c>
      <c r="J108" s="157">
        <v>3</v>
      </c>
      <c r="K108" s="264"/>
      <c r="L108" s="265"/>
      <c r="U108" s="7">
        <f t="shared" si="7"/>
        <v>108</v>
      </c>
      <c r="AB108" s="7">
        <v>0</v>
      </c>
      <c r="AC108" s="7">
        <v>0</v>
      </c>
      <c r="AD108" s="7">
        <f t="shared" si="8"/>
        <v>3</v>
      </c>
      <c r="AE108" s="7" t="str">
        <f t="shared" si="11"/>
        <v>Aerostazione</v>
      </c>
      <c r="AH108" s="7" t="str">
        <f t="shared" si="9"/>
        <v>Aerostazione</v>
      </c>
    </row>
    <row r="109" spans="1:34" ht="22.5">
      <c r="A109" s="305"/>
      <c r="B109" s="224"/>
      <c r="C109" s="130">
        <f t="shared" si="10"/>
        <v>109</v>
      </c>
      <c r="D109" s="153" t="s">
        <v>285</v>
      </c>
      <c r="E109" s="131" t="s">
        <v>40</v>
      </c>
      <c r="F109" s="132">
        <v>40000</v>
      </c>
      <c r="G109" s="276"/>
      <c r="H109" s="277"/>
      <c r="I109" s="153" t="s">
        <v>171</v>
      </c>
      <c r="J109" s="157">
        <v>1</v>
      </c>
      <c r="K109" s="274"/>
      <c r="L109" s="275"/>
      <c r="U109" s="7">
        <f t="shared" si="7"/>
        <v>109</v>
      </c>
      <c r="AB109" s="7">
        <v>0</v>
      </c>
      <c r="AC109" s="7">
        <v>0</v>
      </c>
      <c r="AD109" s="7">
        <f t="shared" si="8"/>
        <v>1</v>
      </c>
      <c r="AE109" s="7" t="str">
        <f t="shared" si="11"/>
        <v>Stazione Ferroviaria</v>
      </c>
      <c r="AH109" s="7" t="str">
        <f t="shared" si="9"/>
        <v>Stazione Ferroviaria</v>
      </c>
    </row>
    <row r="110" spans="1:34" ht="15">
      <c r="A110" s="138">
        <v>79</v>
      </c>
      <c r="B110" s="171" t="s">
        <v>172</v>
      </c>
      <c r="C110" s="120">
        <f t="shared" si="10"/>
        <v>110</v>
      </c>
      <c r="D110" s="144" t="s">
        <v>47</v>
      </c>
      <c r="E110" s="126" t="s">
        <v>44</v>
      </c>
      <c r="F110" s="127">
        <v>4</v>
      </c>
      <c r="G110" s="127">
        <v>20000</v>
      </c>
      <c r="H110" s="141">
        <v>0.1</v>
      </c>
      <c r="I110" s="272"/>
      <c r="J110" s="273"/>
      <c r="K110" s="272"/>
      <c r="L110" s="273"/>
      <c r="U110" s="7">
        <f t="shared" si="7"/>
        <v>110</v>
      </c>
      <c r="AB110" s="7">
        <v>0</v>
      </c>
      <c r="AC110" s="7">
        <v>0</v>
      </c>
      <c r="AD110" s="7">
        <f t="shared" si="8"/>
        <v>0</v>
      </c>
      <c r="AE110" s="7">
        <f t="shared" si="11"/>
        <v>0</v>
      </c>
      <c r="AH110" s="7">
        <f t="shared" si="9"/>
      </c>
    </row>
    <row r="111" spans="1:34" ht="26.25" customHeight="1">
      <c r="A111" s="305">
        <v>80</v>
      </c>
      <c r="B111" s="223" t="s">
        <v>173</v>
      </c>
      <c r="C111" s="130">
        <f t="shared" si="10"/>
        <v>111</v>
      </c>
      <c r="D111" s="259" t="s">
        <v>174</v>
      </c>
      <c r="E111" s="260" t="s">
        <v>48</v>
      </c>
      <c r="F111" s="261">
        <v>100</v>
      </c>
      <c r="G111" s="249"/>
      <c r="H111" s="250"/>
      <c r="I111" s="153" t="s">
        <v>175</v>
      </c>
      <c r="J111" s="157">
        <v>3</v>
      </c>
      <c r="K111" s="264"/>
      <c r="L111" s="265"/>
      <c r="U111" s="7">
        <f>+C111</f>
        <v>111</v>
      </c>
      <c r="AB111" s="7">
        <v>0</v>
      </c>
      <c r="AC111" s="7">
        <v>0</v>
      </c>
      <c r="AD111" s="7">
        <f t="shared" si="8"/>
        <v>3</v>
      </c>
      <c r="AE111" s="7" t="str">
        <f t="shared" si="11"/>
        <v>Autostradale</v>
      </c>
      <c r="AH111" s="7" t="str">
        <f t="shared" si="9"/>
        <v>Autostradale</v>
      </c>
    </row>
    <row r="112" spans="1:34" ht="15.75" thickBot="1">
      <c r="A112" s="306"/>
      <c r="B112" s="224"/>
      <c r="C112" s="130">
        <f t="shared" si="10"/>
        <v>112</v>
      </c>
      <c r="D112" s="280"/>
      <c r="E112" s="281"/>
      <c r="F112" s="282"/>
      <c r="G112" s="268"/>
      <c r="H112" s="269"/>
      <c r="I112" s="168" t="s">
        <v>176</v>
      </c>
      <c r="J112" s="160">
        <v>1</v>
      </c>
      <c r="K112" s="266"/>
      <c r="L112" s="267"/>
      <c r="U112" s="7">
        <f>+C112</f>
        <v>112</v>
      </c>
      <c r="AB112" s="7">
        <v>0</v>
      </c>
      <c r="AC112" s="7">
        <v>0</v>
      </c>
      <c r="AD112" s="7">
        <f t="shared" si="8"/>
        <v>1</v>
      </c>
      <c r="AE112" s="7" t="str">
        <f t="shared" si="11"/>
        <v>Ferroviaria</v>
      </c>
      <c r="AH112" s="7" t="str">
        <f t="shared" si="9"/>
        <v>Ferroviaria</v>
      </c>
    </row>
    <row r="113" ht="15">
      <c r="C113" s="57">
        <f t="shared" si="10"/>
        <v>113</v>
      </c>
    </row>
  </sheetData>
  <sheetProtection/>
  <mergeCells count="304">
    <mergeCell ref="A7:A8"/>
    <mergeCell ref="A9:A10"/>
    <mergeCell ref="A11:A12"/>
    <mergeCell ref="B5:B6"/>
    <mergeCell ref="B7:B8"/>
    <mergeCell ref="B9:B10"/>
    <mergeCell ref="B11:B12"/>
    <mergeCell ref="I1:J1"/>
    <mergeCell ref="K1:L1"/>
    <mergeCell ref="A3:A4"/>
    <mergeCell ref="B3:B4"/>
    <mergeCell ref="A5:A6"/>
    <mergeCell ref="G4:H4"/>
    <mergeCell ref="D7:D8"/>
    <mergeCell ref="E7:E8"/>
    <mergeCell ref="F7:F8"/>
    <mergeCell ref="G7:G8"/>
    <mergeCell ref="H7:H8"/>
    <mergeCell ref="D9:D10"/>
    <mergeCell ref="E9:E10"/>
    <mergeCell ref="F9:F10"/>
    <mergeCell ref="G9:G10"/>
    <mergeCell ref="H9:H10"/>
    <mergeCell ref="A104:A105"/>
    <mergeCell ref="A108:A109"/>
    <mergeCell ref="A111:A112"/>
    <mergeCell ref="A1:A2"/>
    <mergeCell ref="D1:H1"/>
    <mergeCell ref="G6:H6"/>
    <mergeCell ref="A69:A70"/>
    <mergeCell ref="A72:A73"/>
    <mergeCell ref="A77:A78"/>
    <mergeCell ref="A83:A84"/>
    <mergeCell ref="A95:A96"/>
    <mergeCell ref="A99:A100"/>
    <mergeCell ref="A54:A55"/>
    <mergeCell ref="A56:A57"/>
    <mergeCell ref="A59:A60"/>
    <mergeCell ref="A65:A66"/>
    <mergeCell ref="A63:A64"/>
    <mergeCell ref="A29:A30"/>
    <mergeCell ref="A39:A40"/>
    <mergeCell ref="A41:A42"/>
    <mergeCell ref="A47:A48"/>
    <mergeCell ref="A49:A50"/>
    <mergeCell ref="D23:D24"/>
    <mergeCell ref="A51:A52"/>
    <mergeCell ref="A101:A102"/>
    <mergeCell ref="A19:A20"/>
    <mergeCell ref="A21:A22"/>
    <mergeCell ref="A23:A24"/>
    <mergeCell ref="A25:A26"/>
    <mergeCell ref="K45:L45"/>
    <mergeCell ref="K46:L46"/>
    <mergeCell ref="K41:L42"/>
    <mergeCell ref="K29:L30"/>
    <mergeCell ref="G29:G30"/>
    <mergeCell ref="H29:H30"/>
    <mergeCell ref="I39:I40"/>
    <mergeCell ref="J39:J40"/>
    <mergeCell ref="D35:L35"/>
    <mergeCell ref="D38:L38"/>
    <mergeCell ref="K23:L24"/>
    <mergeCell ref="K36:L36"/>
    <mergeCell ref="K37:L37"/>
    <mergeCell ref="D32:L32"/>
    <mergeCell ref="D33:L33"/>
    <mergeCell ref="D34:L34"/>
    <mergeCell ref="D59:D60"/>
    <mergeCell ref="E59:E60"/>
    <mergeCell ref="F59:F60"/>
    <mergeCell ref="I16:J16"/>
    <mergeCell ref="K16:L16"/>
    <mergeCell ref="K11:L12"/>
    <mergeCell ref="D11:D12"/>
    <mergeCell ref="E11:E12"/>
    <mergeCell ref="F11:F12"/>
    <mergeCell ref="G11:G12"/>
    <mergeCell ref="H11:H12"/>
    <mergeCell ref="K58:L58"/>
    <mergeCell ref="J47:J48"/>
    <mergeCell ref="D41:D42"/>
    <mergeCell ref="E41:E42"/>
    <mergeCell ref="F41:F42"/>
    <mergeCell ref="G41:G42"/>
    <mergeCell ref="H41:H42"/>
    <mergeCell ref="I41:I42"/>
    <mergeCell ref="J41:J42"/>
    <mergeCell ref="D47:D48"/>
    <mergeCell ref="E47:E48"/>
    <mergeCell ref="F47:F48"/>
    <mergeCell ref="G47:G48"/>
    <mergeCell ref="H47:H48"/>
    <mergeCell ref="I47:I48"/>
    <mergeCell ref="D43:L43"/>
    <mergeCell ref="G59:G60"/>
    <mergeCell ref="K53:L53"/>
    <mergeCell ref="D54:D55"/>
    <mergeCell ref="E54:E55"/>
    <mergeCell ref="F54:F55"/>
    <mergeCell ref="H59:H60"/>
    <mergeCell ref="I59:I60"/>
    <mergeCell ref="J59:J60"/>
    <mergeCell ref="D56:D57"/>
    <mergeCell ref="E56:E57"/>
    <mergeCell ref="F56:F57"/>
    <mergeCell ref="G56:G57"/>
    <mergeCell ref="H56:H57"/>
    <mergeCell ref="I56:I57"/>
    <mergeCell ref="I58:J58"/>
    <mergeCell ref="J56:J57"/>
    <mergeCell ref="D21:D22"/>
    <mergeCell ref="E21:E22"/>
    <mergeCell ref="F21:F22"/>
    <mergeCell ref="D19:D20"/>
    <mergeCell ref="E19:E20"/>
    <mergeCell ref="F19:F20"/>
    <mergeCell ref="G19:G20"/>
    <mergeCell ref="H19:H20"/>
    <mergeCell ref="F39:F40"/>
    <mergeCell ref="D25:D26"/>
    <mergeCell ref="D29:D30"/>
    <mergeCell ref="G21:H22"/>
    <mergeCell ref="D39:D40"/>
    <mergeCell ref="E39:E40"/>
    <mergeCell ref="E23:E24"/>
    <mergeCell ref="F23:F24"/>
    <mergeCell ref="E25:E26"/>
    <mergeCell ref="E29:E30"/>
    <mergeCell ref="F29:F30"/>
    <mergeCell ref="F25:F26"/>
    <mergeCell ref="G25:G26"/>
    <mergeCell ref="H25:H26"/>
    <mergeCell ref="H49:H50"/>
    <mergeCell ref="G54:G55"/>
    <mergeCell ref="H54:H55"/>
    <mergeCell ref="D51:D52"/>
    <mergeCell ref="E51:E52"/>
    <mergeCell ref="F51:F52"/>
    <mergeCell ref="G51:G52"/>
    <mergeCell ref="H51:H52"/>
    <mergeCell ref="G39:G40"/>
    <mergeCell ref="H39:H40"/>
    <mergeCell ref="D44:L44"/>
    <mergeCell ref="D69:D70"/>
    <mergeCell ref="E69:E70"/>
    <mergeCell ref="F69:F70"/>
    <mergeCell ref="G69:G70"/>
    <mergeCell ref="H69:H70"/>
    <mergeCell ref="D63:D64"/>
    <mergeCell ref="E63:E64"/>
    <mergeCell ref="F63:F64"/>
    <mergeCell ref="G63:G64"/>
    <mergeCell ref="H63:H64"/>
    <mergeCell ref="D65:D66"/>
    <mergeCell ref="E65:E66"/>
    <mergeCell ref="F65:F66"/>
    <mergeCell ref="G65:G66"/>
    <mergeCell ref="H65:H66"/>
    <mergeCell ref="K68:L68"/>
    <mergeCell ref="J69:J70"/>
    <mergeCell ref="G71:H71"/>
    <mergeCell ref="I71:J71"/>
    <mergeCell ref="K71:L71"/>
    <mergeCell ref="K61:L61"/>
    <mergeCell ref="I62:J62"/>
    <mergeCell ref="K62:L62"/>
    <mergeCell ref="I63:I64"/>
    <mergeCell ref="J63:J64"/>
    <mergeCell ref="J65:J66"/>
    <mergeCell ref="I74:J74"/>
    <mergeCell ref="K74:L74"/>
    <mergeCell ref="I75:J75"/>
    <mergeCell ref="K75:L75"/>
    <mergeCell ref="I76:J76"/>
    <mergeCell ref="K76:L76"/>
    <mergeCell ref="D72:D73"/>
    <mergeCell ref="E72:E73"/>
    <mergeCell ref="F72:F73"/>
    <mergeCell ref="K72:L73"/>
    <mergeCell ref="G72:H73"/>
    <mergeCell ref="I79:J79"/>
    <mergeCell ref="I80:J80"/>
    <mergeCell ref="I81:J81"/>
    <mergeCell ref="I82:J82"/>
    <mergeCell ref="K79:L79"/>
    <mergeCell ref="K80:L80"/>
    <mergeCell ref="K81:L81"/>
    <mergeCell ref="K82:L82"/>
    <mergeCell ref="D77:D78"/>
    <mergeCell ref="E77:E78"/>
    <mergeCell ref="F77:F78"/>
    <mergeCell ref="G77:G78"/>
    <mergeCell ref="H77:H78"/>
    <mergeCell ref="K77:L78"/>
    <mergeCell ref="K89:L89"/>
    <mergeCell ref="K90:L90"/>
    <mergeCell ref="K91:L91"/>
    <mergeCell ref="K92:L92"/>
    <mergeCell ref="K93:L93"/>
    <mergeCell ref="I90:J90"/>
    <mergeCell ref="D83:D84"/>
    <mergeCell ref="E83:E84"/>
    <mergeCell ref="F83:F84"/>
    <mergeCell ref="G83:G84"/>
    <mergeCell ref="H83:H84"/>
    <mergeCell ref="K83:L84"/>
    <mergeCell ref="D95:D96"/>
    <mergeCell ref="E95:E96"/>
    <mergeCell ref="F95:F96"/>
    <mergeCell ref="G95:G96"/>
    <mergeCell ref="H95:H96"/>
    <mergeCell ref="D99:D100"/>
    <mergeCell ref="E99:E100"/>
    <mergeCell ref="F99:F100"/>
    <mergeCell ref="G99:G100"/>
    <mergeCell ref="H99:H100"/>
    <mergeCell ref="J104:J105"/>
    <mergeCell ref="K106:L106"/>
    <mergeCell ref="K107:L107"/>
    <mergeCell ref="K101:L102"/>
    <mergeCell ref="K103:L103"/>
    <mergeCell ref="D101:D102"/>
    <mergeCell ref="E101:E102"/>
    <mergeCell ref="F101:F102"/>
    <mergeCell ref="G101:G102"/>
    <mergeCell ref="H101:H102"/>
    <mergeCell ref="D104:D105"/>
    <mergeCell ref="E104:E105"/>
    <mergeCell ref="F104:F105"/>
    <mergeCell ref="G104:G105"/>
    <mergeCell ref="H104:H105"/>
    <mergeCell ref="G16:H16"/>
    <mergeCell ref="D13:L13"/>
    <mergeCell ref="D14:L14"/>
    <mergeCell ref="D15:L15"/>
    <mergeCell ref="D17:L17"/>
    <mergeCell ref="D18:L18"/>
    <mergeCell ref="B19:B20"/>
    <mergeCell ref="B21:B22"/>
    <mergeCell ref="K111:L112"/>
    <mergeCell ref="G111:H112"/>
    <mergeCell ref="K97:L97"/>
    <mergeCell ref="K98:L98"/>
    <mergeCell ref="K99:L100"/>
    <mergeCell ref="G109:H109"/>
    <mergeCell ref="K108:L109"/>
    <mergeCell ref="I110:J110"/>
    <mergeCell ref="G103:H103"/>
    <mergeCell ref="K110:L110"/>
    <mergeCell ref="I106:J106"/>
    <mergeCell ref="D111:D112"/>
    <mergeCell ref="E111:E112"/>
    <mergeCell ref="F111:F112"/>
    <mergeCell ref="I103:J103"/>
    <mergeCell ref="I104:I105"/>
    <mergeCell ref="B47:B48"/>
    <mergeCell ref="B49:B50"/>
    <mergeCell ref="B51:B52"/>
    <mergeCell ref="B54:B55"/>
    <mergeCell ref="B56:B57"/>
    <mergeCell ref="B23:B24"/>
    <mergeCell ref="G23:H24"/>
    <mergeCell ref="I23:I24"/>
    <mergeCell ref="J23:J24"/>
    <mergeCell ref="B25:B26"/>
    <mergeCell ref="B29:B30"/>
    <mergeCell ref="D27:L27"/>
    <mergeCell ref="D28:L28"/>
    <mergeCell ref="D31:L31"/>
    <mergeCell ref="I49:I50"/>
    <mergeCell ref="J49:J50"/>
    <mergeCell ref="I51:I52"/>
    <mergeCell ref="J51:J52"/>
    <mergeCell ref="I54:I55"/>
    <mergeCell ref="J54:J55"/>
    <mergeCell ref="D49:D50"/>
    <mergeCell ref="E49:E50"/>
    <mergeCell ref="F49:F50"/>
    <mergeCell ref="G49:G50"/>
    <mergeCell ref="B104:B105"/>
    <mergeCell ref="B108:B109"/>
    <mergeCell ref="B111:B112"/>
    <mergeCell ref="B1:B2"/>
    <mergeCell ref="B83:B84"/>
    <mergeCell ref="D85:L85"/>
    <mergeCell ref="D87:L87"/>
    <mergeCell ref="D86:L86"/>
    <mergeCell ref="D88:L88"/>
    <mergeCell ref="B95:B96"/>
    <mergeCell ref="K95:L96"/>
    <mergeCell ref="B99:B100"/>
    <mergeCell ref="B101:B102"/>
    <mergeCell ref="B59:B60"/>
    <mergeCell ref="I61:J61"/>
    <mergeCell ref="B63:B64"/>
    <mergeCell ref="B65:B66"/>
    <mergeCell ref="I65:I66"/>
    <mergeCell ref="B69:B70"/>
    <mergeCell ref="I69:I70"/>
    <mergeCell ref="B72:B73"/>
    <mergeCell ref="B77:B78"/>
    <mergeCell ref="B39:B40"/>
    <mergeCell ref="B41:B42"/>
  </mergeCells>
  <dataValidations count="2">
    <dataValidation type="list" allowBlank="1" showErrorMessage="1" sqref="Y3:Y6">
      <formula1>$AG$3:$AH$3</formula1>
    </dataValidation>
    <dataValidation type="list" allowBlank="1" showErrorMessage="1" sqref="Z3:Z6">
      <formula1>$AG$3:$AI$3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8"/>
  <dimension ref="A1:R2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>
        <v>4</v>
      </c>
      <c r="B1">
        <f>+A1*60</f>
        <v>240</v>
      </c>
      <c r="D1">
        <v>720</v>
      </c>
      <c r="E1">
        <f>+D1-$B$3</f>
        <v>240</v>
      </c>
    </row>
    <row r="2" spans="2:5" ht="15">
      <c r="B2">
        <v>720</v>
      </c>
      <c r="D2">
        <v>780</v>
      </c>
      <c r="E2">
        <f aca="true" t="shared" si="0" ref="E2:E8">+D2-$B$3</f>
        <v>300</v>
      </c>
    </row>
    <row r="3" spans="2:12" ht="15">
      <c r="B3">
        <f>+B2-B1</f>
        <v>480</v>
      </c>
      <c r="D3">
        <v>1320</v>
      </c>
      <c r="E3">
        <f t="shared" si="0"/>
        <v>840</v>
      </c>
      <c r="L3">
        <f>184/34</f>
        <v>5.411764705882353</v>
      </c>
    </row>
    <row r="4" spans="4:5" ht="15">
      <c r="D4">
        <v>1680</v>
      </c>
      <c r="E4">
        <f t="shared" si="0"/>
        <v>1200</v>
      </c>
    </row>
    <row r="5" spans="4:12" ht="15">
      <c r="D5">
        <v>1740</v>
      </c>
      <c r="E5">
        <f t="shared" si="0"/>
        <v>1260</v>
      </c>
      <c r="L5">
        <f>34/184</f>
        <v>0.18478260869565216</v>
      </c>
    </row>
    <row r="6" spans="4:5" ht="15">
      <c r="D6">
        <v>1860</v>
      </c>
      <c r="E6">
        <f t="shared" si="0"/>
        <v>1380</v>
      </c>
    </row>
    <row r="7" spans="4:12" ht="15">
      <c r="D7">
        <v>2520</v>
      </c>
      <c r="E7">
        <f t="shared" si="0"/>
        <v>2040</v>
      </c>
      <c r="L7">
        <f>16/114</f>
        <v>0.14035087719298245</v>
      </c>
    </row>
    <row r="8" spans="4:5" ht="15">
      <c r="D8">
        <v>4440</v>
      </c>
      <c r="E8">
        <f t="shared" si="0"/>
        <v>3960</v>
      </c>
    </row>
    <row r="9" spans="9:10" ht="15">
      <c r="I9">
        <v>2</v>
      </c>
      <c r="J9">
        <v>3</v>
      </c>
    </row>
    <row r="10" spans="9:10" ht="15">
      <c r="I10">
        <v>2</v>
      </c>
      <c r="J10">
        <v>4</v>
      </c>
    </row>
    <row r="12" spans="1:4" ht="15">
      <c r="A12">
        <f>+SQRT(1890)</f>
        <v>43.474130238568314</v>
      </c>
      <c r="B12">
        <f>+A12/30</f>
        <v>1.4491376746189437</v>
      </c>
      <c r="C12">
        <v>3</v>
      </c>
      <c r="D12">
        <f>+C12*60</f>
        <v>180</v>
      </c>
    </row>
    <row r="13" ht="15">
      <c r="B13">
        <f>+B12*60</f>
        <v>86.94826047713663</v>
      </c>
    </row>
    <row r="15" spans="14:15" ht="15">
      <c r="N15">
        <v>16</v>
      </c>
      <c r="O15">
        <f>+N15/N16</f>
        <v>62.7746390458255</v>
      </c>
    </row>
    <row r="16" spans="11:14" ht="15">
      <c r="K16">
        <v>1.18</v>
      </c>
      <c r="L16">
        <v>0.18</v>
      </c>
      <c r="M16">
        <v>1.2</v>
      </c>
      <c r="N16">
        <f>+K16*L16*M16</f>
        <v>0.25487999999999994</v>
      </c>
    </row>
    <row r="19" spans="4:7" ht="15">
      <c r="D19">
        <f>0.5*0.18*1.2</f>
        <v>0.108</v>
      </c>
      <c r="F19">
        <v>22</v>
      </c>
      <c r="G19">
        <f>+F19/0.1</f>
        <v>220</v>
      </c>
    </row>
    <row r="20" spans="4:6" ht="15">
      <c r="D20">
        <f>0.5*22</f>
        <v>11</v>
      </c>
      <c r="F20">
        <v>22</v>
      </c>
    </row>
    <row r="23" spans="4:7" ht="15">
      <c r="D23">
        <v>0.8</v>
      </c>
      <c r="E23">
        <f>+D23*50</f>
        <v>40</v>
      </c>
      <c r="F23">
        <v>22</v>
      </c>
      <c r="G23">
        <f>+F23/0.8</f>
        <v>27.5</v>
      </c>
    </row>
    <row r="25" spans="10:18" ht="15">
      <c r="J25">
        <f>27+63</f>
        <v>90</v>
      </c>
      <c r="O25">
        <v>240</v>
      </c>
      <c r="P25">
        <v>180</v>
      </c>
      <c r="Q25">
        <v>126</v>
      </c>
      <c r="R25">
        <f>+SUM(O25:Q25)</f>
        <v>546</v>
      </c>
    </row>
    <row r="26" spans="4:7" ht="15">
      <c r="D26">
        <v>1.18</v>
      </c>
      <c r="E26">
        <v>0.18</v>
      </c>
      <c r="F26">
        <v>0.45</v>
      </c>
      <c r="G26">
        <f>+D26*E26*F26</f>
        <v>0.09558</v>
      </c>
    </row>
    <row r="27" spans="8:9" ht="15">
      <c r="H27">
        <v>16</v>
      </c>
      <c r="I27">
        <f>+H27/H28</f>
        <v>30.131826741996232</v>
      </c>
    </row>
    <row r="28" spans="8:18" ht="15">
      <c r="H28">
        <f>1.18*0.45</f>
        <v>0.531</v>
      </c>
      <c r="R28">
        <f>0.6-0.15</f>
        <v>0.44999999999999996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/>
  <dimension ref="A1:AM2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55.421875" style="0" customWidth="1"/>
    <col min="3" max="3" width="16.421875" style="0" customWidth="1"/>
    <col min="4" max="4" width="10.28125" style="6" customWidth="1"/>
    <col min="5" max="5" width="16.7109375" style="0" bestFit="1" customWidth="1"/>
    <col min="6" max="6" width="19.140625" style="0" customWidth="1"/>
    <col min="7" max="7" width="10.57421875" style="0" customWidth="1"/>
    <col min="8" max="8" width="18.140625" style="0" customWidth="1"/>
    <col min="9" max="9" width="10.7109375" style="0" customWidth="1"/>
    <col min="10" max="10" width="10.00390625" style="0" bestFit="1" customWidth="1"/>
    <col min="14" max="22" width="0" style="0" hidden="1" customWidth="1"/>
    <col min="26" max="26" width="20.28125" style="0" customWidth="1"/>
    <col min="27" max="27" width="9.7109375" style="0" bestFit="1" customWidth="1"/>
  </cols>
  <sheetData>
    <row r="1" spans="5:9" ht="15">
      <c r="E1" s="321" t="s">
        <v>195</v>
      </c>
      <c r="F1" s="321"/>
      <c r="G1" s="321"/>
      <c r="H1" s="321"/>
      <c r="I1" s="321"/>
    </row>
    <row r="2" spans="1:37" ht="15">
      <c r="A2" s="1" t="s">
        <v>10</v>
      </c>
      <c r="B2" s="1" t="s">
        <v>3</v>
      </c>
      <c r="C2" s="1" t="s">
        <v>12</v>
      </c>
      <c r="D2" s="20" t="s">
        <v>14</v>
      </c>
      <c r="E2" s="1" t="s">
        <v>196</v>
      </c>
      <c r="F2" s="1" t="s">
        <v>197</v>
      </c>
      <c r="G2" s="1" t="s">
        <v>199</v>
      </c>
      <c r="H2" s="1" t="s">
        <v>198</v>
      </c>
      <c r="I2" s="1" t="s">
        <v>199</v>
      </c>
      <c r="J2" s="1" t="s">
        <v>27</v>
      </c>
      <c r="X2" s="1" t="s">
        <v>17</v>
      </c>
      <c r="Y2" s="1" t="s">
        <v>18</v>
      </c>
      <c r="Z2" s="1" t="s">
        <v>19</v>
      </c>
      <c r="AA2" s="1" t="s">
        <v>22</v>
      </c>
      <c r="AB2" s="1" t="s">
        <v>23</v>
      </c>
      <c r="AC2" s="1" t="s">
        <v>24</v>
      </c>
      <c r="AD2" s="1" t="s">
        <v>25</v>
      </c>
      <c r="AE2" s="1" t="s">
        <v>26</v>
      </c>
      <c r="AF2" s="2" t="s">
        <v>31</v>
      </c>
      <c r="AG2" s="2" t="s">
        <v>32</v>
      </c>
      <c r="AH2" s="2" t="s">
        <v>77</v>
      </c>
      <c r="AI2" s="2" t="s">
        <v>78</v>
      </c>
      <c r="AJ2" s="2" t="s">
        <v>192</v>
      </c>
      <c r="AK2" s="2" t="s">
        <v>191</v>
      </c>
    </row>
    <row r="3" spans="1:39" s="3" customFormat="1" ht="110.25" customHeight="1">
      <c r="A3" s="23">
        <v>4</v>
      </c>
      <c r="B3" s="11" t="str">
        <f>+VLOOKUP($A3,TabAtt,2,FALSE)</f>
        <v>Depositi di gas infiammabili in serbatoi fissi: compressi per capacità geometrica complessiva superiore o uguale a 0, 75 m3; disciolti o liquefatti per capacità geometrica complessiva superiore o uguale a 0,3 m3</v>
      </c>
      <c r="C3" s="15" t="s">
        <v>53</v>
      </c>
      <c r="D3" s="12" t="str">
        <f ca="1">+VLOOKUP(C3,INDIRECT(ADDRESS(X3,4,1,,"PARAMETRI ATTIVITA")&amp;":"&amp;+ADDRESS(X3+5,12,1,,)),2,FALSE)</f>
        <v>m³</v>
      </c>
      <c r="E3" s="16">
        <v>1000</v>
      </c>
      <c r="F3" s="15" t="s">
        <v>33</v>
      </c>
      <c r="G3" s="13">
        <v>1</v>
      </c>
      <c r="H3" s="15" t="s">
        <v>37</v>
      </c>
      <c r="I3" s="14">
        <v>0</v>
      </c>
      <c r="J3" s="17">
        <f>IF(AF3=0,+SQRT(AJ3*AA3)*AC3*AE3,IF(AJ3-AF3&lt;0,+SQRT((AJ3+AK3)*AA3)*AC3*AE3,SQRT((AF3+AK3+(AJ3-AF3)*AG3)*AA3))*AC3*AE3)</f>
        <v>289.8275349237888</v>
      </c>
      <c r="X3" s="4">
        <f>+VLOOKUP($A3,TabAtt,3,FALSE)</f>
        <v>8</v>
      </c>
      <c r="Y3" s="4">
        <f>+VLOOKUP($A3+1,TabAtt,3,FALSE)-X3</f>
        <v>2</v>
      </c>
      <c r="Z3" s="4" t="str">
        <f>+ADDRESS(X3,4,1,,"PARAMETRI ATTIVITA")</f>
        <v>'PARAMETRI ATTIVITA'!$D$8</v>
      </c>
      <c r="AA3" s="5">
        <f ca="1">+VLOOKUP(C3,INDIRECT(ADDRESS(X3,4,1,,"PARAMETRI ATTIVITA")&amp;":"&amp;+ADDRESS(X3+5,12,1,,)),3,FALSE)</f>
        <v>300</v>
      </c>
      <c r="AB3" s="4" t="str">
        <f>+ADDRESS(X3,7,1,,"PARAMETRI ATTIVITA")</f>
        <v>'PARAMETRI ATTIVITA'!$G$8</v>
      </c>
      <c r="AC3" s="4">
        <f>+IF(AM3="F",IF((G3*AH3-AI3)/G3&lt;0,1,(G3*AH3-AI3)/G3),AM3)</f>
        <v>1</v>
      </c>
      <c r="AD3" s="4" t="str">
        <f>+ADDRESS(X3,9,1,,"PARAMETRI ATTIVITA")</f>
        <v>'PARAMETRI ATTIVITA'!$I$8</v>
      </c>
      <c r="AE3" s="4">
        <f ca="1">++IF(A3=68,1,VLOOKUP(H3,INDIRECT(ADDRESS(X3,9,1,,"PARAMETRI ATTIVITA")&amp;":"&amp;+ADDRESS(X3+5,108,1,,)),2,FALSE))</f>
        <v>1</v>
      </c>
      <c r="AF3" s="3">
        <f ca="1">+VLOOKUP(C3,INDIRECT(ADDRESS(X3,4,1,,"PARAMETRI ATTIVITA")&amp;":"&amp;+ADDRESS(X3+5,12,1,,)),8,FALSE)</f>
        <v>200</v>
      </c>
      <c r="AG3" s="3">
        <f ca="1">+VLOOKUP(C3,INDIRECT(ADDRESS(X3,4,1,,"PARAMETRI ATTIVITA")&amp;":"&amp;+ADDRESS(X3+5,12,1,,)),9,FALSE)</f>
        <v>0.1</v>
      </c>
      <c r="AH3" s="3">
        <f>+IF(ISERROR(VLOOKUP($A3,TabAtt,13,FALSE))=FALSE,VLOOKUP($A3,TabAtt,13,FALSE),1)</f>
        <v>0</v>
      </c>
      <c r="AI3" s="3">
        <f>+IF(ISERROR(VLOOKUP($A3,TabAtt,14,FALSE))=FALSE,VLOOKUP($A3,TabAtt,14,FALSE),1)</f>
        <v>0</v>
      </c>
      <c r="AJ3" s="3">
        <f>+E3</f>
        <v>1000</v>
      </c>
      <c r="AK3" s="3">
        <f ca="1">+IF(A3=68,G3*VLOOKUP(F3,INDIRECT(ADDRESS(X3,7,1,,"PARAMETRI ATTIVITA")&amp;":"&amp;+ADDRESS(X3+5,8,1,,)),2,FALSE)+I3*VLOOKUP(H3,INDIRECT(ADDRESS(X3,9,1,,"PARAMETRI ATTIVITA")&amp;":"&amp;+ADDRESS(X3+5,108,1,,)),2,FALSE),0)</f>
        <v>0</v>
      </c>
      <c r="AM3" s="3">
        <f ca="1">+IF(A3=68,1,VLOOKUP(F3,INDIRECT(ADDRESS(X3,7,1,,"PARAMETRI ATTIVITA")&amp;":"&amp;+ADDRESS(X3+5,8,1,,)),2,FALSE))</f>
        <v>1</v>
      </c>
    </row>
    <row r="4" spans="4:31" ht="15">
      <c r="D4" s="8" t="str">
        <f>+"Limite superiore ["&amp;D3&amp;"] ="</f>
        <v>Limite superiore [m³] =</v>
      </c>
      <c r="E4">
        <f ca="1">+INDIRECT(ADDRESS(X3,11,1,,"PARAMETRI ATTIVITA"))</f>
        <v>200</v>
      </c>
      <c r="F4" s="10" t="s">
        <v>83</v>
      </c>
      <c r="G4">
        <f ca="1">+INDIRECT(ADDRESS(X3,15,1,,"PARAMETRI ATTIVITA"))</f>
        <v>0</v>
      </c>
      <c r="X4" s="1"/>
      <c r="Y4" s="1"/>
      <c r="Z4" s="1" t="str">
        <f>+ADDRESS(X3,4,1,,"PARAMETRI ATTIVITA")&amp;":"&amp;+ADDRESS(X3+5,12,1,,)</f>
        <v>'PARAMETRI ATTIVITA'!$D$8:$L$13</v>
      </c>
      <c r="AA4" s="1"/>
      <c r="AB4" s="1"/>
      <c r="AC4" s="1"/>
      <c r="AD4" s="1"/>
      <c r="AE4" s="1"/>
    </row>
    <row r="5" spans="4:31" ht="15">
      <c r="D5" s="8" t="str">
        <f>+"Calcolo dell'eccedenza dei ["&amp;D3&amp;"] ="</f>
        <v>Calcolo dell'eccedenza dei [m³] =</v>
      </c>
      <c r="E5">
        <f ca="1">+INDIRECT(ADDRESS(X3,12,1,,"PARAMETRI ATTIVITA"))</f>
        <v>0.1</v>
      </c>
      <c r="F5" t="s">
        <v>193</v>
      </c>
      <c r="G5" s="31">
        <f>+AC3</f>
        <v>1</v>
      </c>
      <c r="H5" t="s">
        <v>194</v>
      </c>
      <c r="I5">
        <f>+AE3</f>
        <v>1</v>
      </c>
      <c r="X5" s="1"/>
      <c r="Y5" s="1"/>
      <c r="Z5" s="1"/>
      <c r="AA5" s="1"/>
      <c r="AB5" s="1"/>
      <c r="AC5" s="1"/>
      <c r="AD5" s="1"/>
      <c r="AE5" s="1"/>
    </row>
    <row r="6" spans="4:31" ht="15">
      <c r="D6" s="8" t="s">
        <v>190</v>
      </c>
      <c r="E6">
        <f>+AA3</f>
        <v>300</v>
      </c>
      <c r="X6" s="1"/>
      <c r="Y6" s="1"/>
      <c r="Z6" s="1"/>
      <c r="AA6" s="1"/>
      <c r="AB6" s="1"/>
      <c r="AC6" s="1"/>
      <c r="AD6" s="1"/>
      <c r="AE6" s="1"/>
    </row>
    <row r="7" spans="24:31" ht="15">
      <c r="X7" s="1"/>
      <c r="Y7" s="1"/>
      <c r="Z7" s="1"/>
      <c r="AA7" s="1"/>
      <c r="AB7" s="1"/>
      <c r="AC7" s="1"/>
      <c r="AD7" s="1"/>
      <c r="AE7" s="1"/>
    </row>
    <row r="8" spans="24:34" ht="15">
      <c r="X8" s="1"/>
      <c r="Y8" s="1"/>
      <c r="Z8" s="1"/>
      <c r="AA8" s="1"/>
      <c r="AB8" s="1"/>
      <c r="AC8" s="1"/>
      <c r="AD8" s="1"/>
      <c r="AE8" s="1"/>
      <c r="AH8" t="b">
        <f>+ISERROR(VLOOKUP($A3,TabAtt,13,FALSE))</f>
        <v>0</v>
      </c>
    </row>
    <row r="9" spans="1:31" ht="15">
      <c r="A9" s="24" t="s">
        <v>203</v>
      </c>
      <c r="C9" s="25" t="s">
        <v>203</v>
      </c>
      <c r="E9" s="25" t="s">
        <v>203</v>
      </c>
      <c r="F9" s="25" t="s">
        <v>207</v>
      </c>
      <c r="H9" s="25" t="s">
        <v>207</v>
      </c>
      <c r="J9" s="26" t="s">
        <v>210</v>
      </c>
      <c r="X9" s="1"/>
      <c r="Y9" s="1"/>
      <c r="Z9" s="1" t="str">
        <f>+IF(E4&gt;0,IF((E3-E4)&gt;0,"("&amp;E4&amp;" + "&amp;E3-E4&amp;" x "&amp;E5&amp;")x"&amp;E6,E3&amp;"x "&amp;E6),E3)</f>
        <v>(200 + 800 x 0,1)x300</v>
      </c>
      <c r="AA9" s="1" t="str">
        <f>+IF(F3="non def.",""," x"&amp;TEXT(G5,"#0,00"))</f>
        <v> x1,00</v>
      </c>
      <c r="AB9" s="1">
        <f>+IF(H3="non def.",""," x"&amp;TEXT(I5,"#0,00"))</f>
      </c>
      <c r="AC9" s="1"/>
      <c r="AD9" s="1"/>
      <c r="AE9" s="1"/>
    </row>
    <row r="10" spans="1:31" ht="15">
      <c r="A10" s="24" t="s">
        <v>204</v>
      </c>
      <c r="C10" s="25" t="s">
        <v>205</v>
      </c>
      <c r="E10" s="25" t="s">
        <v>206</v>
      </c>
      <c r="F10" s="25" t="s">
        <v>208</v>
      </c>
      <c r="H10" s="25" t="s">
        <v>209</v>
      </c>
      <c r="J10" s="26" t="s">
        <v>211</v>
      </c>
      <c r="X10" s="1"/>
      <c r="Y10" s="1"/>
      <c r="Z10" s="1"/>
      <c r="AA10" s="1"/>
      <c r="AB10" s="1"/>
      <c r="AC10" s="1"/>
      <c r="AD10" s="1"/>
      <c r="AE10" s="1"/>
    </row>
    <row r="11" spans="3:31" ht="21">
      <c r="C11" s="203" t="str">
        <f>"Formula = [SxK]^0,5 "&amp;IF(AA9="",""," x X")&amp;IF(AB9="","","  x Y")&amp;" = "&amp;" ["&amp;Z9&amp;"]^0,5"&amp;TEXT(AA9,"#0.00")&amp;TEXT(AB9,"#0.00")&amp;"= "&amp;TEXT(J3,"#.0,00")</f>
        <v>Formula = [SxK]^0,5  x X =  [(200 + 800 x 0,1)x300]^0,5 x1,00= 28.9,83</v>
      </c>
      <c r="D11" s="203"/>
      <c r="E11" s="203"/>
      <c r="F11" s="203"/>
      <c r="G11" s="203"/>
      <c r="H11" s="203"/>
      <c r="I11" s="203"/>
      <c r="J11" s="203"/>
      <c r="X11" s="1"/>
      <c r="Y11" s="1"/>
      <c r="Z11" s="1"/>
      <c r="AA11" s="1"/>
      <c r="AB11" s="1"/>
      <c r="AC11" s="1" t="s">
        <v>187</v>
      </c>
      <c r="AD11" s="1" t="s">
        <v>188</v>
      </c>
      <c r="AE11" s="1" t="s">
        <v>189</v>
      </c>
    </row>
    <row r="12" spans="24:31" ht="15">
      <c r="X12" s="1"/>
      <c r="Y12" s="1"/>
      <c r="Z12" s="1" t="s">
        <v>179</v>
      </c>
      <c r="AA12" s="1">
        <v>1.2</v>
      </c>
      <c r="AB12" s="1" t="s">
        <v>182</v>
      </c>
      <c r="AC12" s="1">
        <v>1.2</v>
      </c>
      <c r="AD12" s="1">
        <v>1.5</v>
      </c>
      <c r="AE12" s="1">
        <v>2</v>
      </c>
    </row>
    <row r="13" spans="24:31" ht="15">
      <c r="X13" s="1"/>
      <c r="Y13" s="1"/>
      <c r="Z13" s="1" t="s">
        <v>180</v>
      </c>
      <c r="AA13" s="1">
        <v>1</v>
      </c>
      <c r="AB13" s="1" t="s">
        <v>183</v>
      </c>
      <c r="AC13" s="1">
        <v>1</v>
      </c>
      <c r="AD13" s="1">
        <v>1</v>
      </c>
      <c r="AE13" s="1">
        <v>1</v>
      </c>
    </row>
    <row r="14" spans="24:31" ht="15">
      <c r="X14" s="1"/>
      <c r="Y14" s="1"/>
      <c r="Z14" s="1" t="s">
        <v>200</v>
      </c>
      <c r="AA14" s="1">
        <v>1.5</v>
      </c>
      <c r="AB14" s="1"/>
      <c r="AC14" s="1"/>
      <c r="AD14" s="1"/>
      <c r="AE14" s="1"/>
    </row>
    <row r="15" spans="3:31" ht="15">
      <c r="C15" s="18" t="s">
        <v>177</v>
      </c>
      <c r="D15" s="19" t="s">
        <v>178</v>
      </c>
      <c r="E15" s="18" t="s">
        <v>181</v>
      </c>
      <c r="F15" s="18" t="s">
        <v>184</v>
      </c>
      <c r="G15" s="18" t="s">
        <v>185</v>
      </c>
      <c r="H15" s="18" t="s">
        <v>186</v>
      </c>
      <c r="X15" s="1"/>
      <c r="Y15" s="1"/>
      <c r="Z15" s="1"/>
      <c r="AA15" s="1"/>
      <c r="AB15" s="1"/>
      <c r="AC15" s="1"/>
      <c r="AD15" s="1"/>
      <c r="AE15" s="1"/>
    </row>
    <row r="16" spans="3:31" ht="60.75" customHeight="1">
      <c r="C16" s="27">
        <f>+J3</f>
        <v>289.8275349237888</v>
      </c>
      <c r="D16" s="29" t="s">
        <v>180</v>
      </c>
      <c r="E16" s="30" t="s">
        <v>183</v>
      </c>
      <c r="F16" s="30" t="s">
        <v>183</v>
      </c>
      <c r="G16" s="30" t="s">
        <v>183</v>
      </c>
      <c r="H16" s="28">
        <v>50</v>
      </c>
      <c r="X16" s="1"/>
      <c r="Y16" s="1"/>
      <c r="Z16" s="1"/>
      <c r="AA16" s="1">
        <f>+VLOOKUP(D16,Z12:AA14,2,FALSE)</f>
        <v>1</v>
      </c>
      <c r="AB16" s="1">
        <f>+VLOOKUP(E16,$AB$12:$AE$13,2,FALSE)</f>
        <v>1</v>
      </c>
      <c r="AC16" s="1">
        <f>+VLOOKUP(F16,$AB$12:$AE$13,3,FALSE)</f>
        <v>1</v>
      </c>
      <c r="AD16" s="1">
        <f>+VLOOKUP(G16,$AB$12:$AE$13,4,FALSE)</f>
        <v>1</v>
      </c>
      <c r="AE16" s="1"/>
    </row>
    <row r="17" spans="24:31" ht="15">
      <c r="X17" s="1"/>
      <c r="Y17" s="1"/>
      <c r="Z17" s="1"/>
      <c r="AA17" s="1"/>
      <c r="AB17" s="1"/>
      <c r="AC17" s="1"/>
      <c r="AD17" s="1"/>
      <c r="AE17" s="1"/>
    </row>
    <row r="18" spans="24:31" ht="15">
      <c r="X18" s="1"/>
      <c r="Y18" s="1"/>
      <c r="Z18" s="1"/>
      <c r="AA18" s="1"/>
      <c r="AB18" s="1"/>
      <c r="AC18" s="1"/>
      <c r="AD18" s="1"/>
      <c r="AE18" s="1"/>
    </row>
    <row r="19" spans="2:31" ht="15">
      <c r="B19">
        <v>7</v>
      </c>
      <c r="X19" s="1"/>
      <c r="Y19" s="1"/>
      <c r="Z19" s="1"/>
      <c r="AA19" s="1"/>
      <c r="AB19" s="1"/>
      <c r="AC19" s="1"/>
      <c r="AD19" s="1"/>
      <c r="AE19" s="1"/>
    </row>
    <row r="20" spans="3:31" ht="33.75">
      <c r="C20" s="21"/>
      <c r="D20" s="22" t="s">
        <v>202</v>
      </c>
      <c r="E20" s="322">
        <f>+C16*H16*PRODUCT(AA16:AD16)</f>
        <v>14491.376746189439</v>
      </c>
      <c r="F20" s="322"/>
      <c r="X20" s="1"/>
      <c r="Y20" s="1"/>
      <c r="Z20" s="1"/>
      <c r="AA20" s="1"/>
      <c r="AB20" s="1"/>
      <c r="AC20" s="1"/>
      <c r="AD20" s="1"/>
      <c r="AE20" s="1"/>
    </row>
    <row r="21" spans="24:31" ht="15">
      <c r="X21" s="1"/>
      <c r="Y21" s="1"/>
      <c r="Z21" s="1"/>
      <c r="AA21" s="1"/>
      <c r="AB21" s="1"/>
      <c r="AC21" s="1"/>
      <c r="AD21" s="1"/>
      <c r="AE21" s="1"/>
    </row>
    <row r="22" spans="24:31" ht="15">
      <c r="X22" s="1"/>
      <c r="Y22" s="1"/>
      <c r="Z22" s="1"/>
      <c r="AA22" s="1"/>
      <c r="AB22" s="1"/>
      <c r="AC22" s="1"/>
      <c r="AD22" s="1"/>
      <c r="AE22" s="1"/>
    </row>
    <row r="23" spans="24:31" ht="15">
      <c r="X23" s="1"/>
      <c r="Y23" s="1"/>
      <c r="Z23" s="1"/>
      <c r="AA23" s="1"/>
      <c r="AB23" s="1"/>
      <c r="AC23" s="1"/>
      <c r="AD23" s="1"/>
      <c r="AE23" s="1"/>
    </row>
    <row r="24" spans="24:31" ht="15">
      <c r="X24" s="1"/>
      <c r="Y24" s="1"/>
      <c r="Z24" s="1"/>
      <c r="AA24" s="1"/>
      <c r="AB24" s="1"/>
      <c r="AC24" s="1"/>
      <c r="AD24" s="1"/>
      <c r="AE24" s="1"/>
    </row>
    <row r="25" spans="24:31" ht="15">
      <c r="X25" s="1"/>
      <c r="Y25" s="1"/>
      <c r="Z25" s="1"/>
      <c r="AA25" s="1"/>
      <c r="AB25" s="1"/>
      <c r="AC25" s="1"/>
      <c r="AD25" s="1"/>
      <c r="AE25" s="1"/>
    </row>
    <row r="26" spans="24:31" ht="15">
      <c r="X26" s="1"/>
      <c r="Y26" s="1"/>
      <c r="Z26" s="1"/>
      <c r="AA26" s="1"/>
      <c r="AB26" s="1"/>
      <c r="AC26" s="1"/>
      <c r="AD26" s="1"/>
      <c r="AE26" s="1"/>
    </row>
    <row r="27" spans="24:31" ht="15">
      <c r="X27" s="1"/>
      <c r="Y27" s="1"/>
      <c r="Z27" s="1"/>
      <c r="AA27" s="1"/>
      <c r="AB27" s="1"/>
      <c r="AC27" s="1"/>
      <c r="AD27" s="1"/>
      <c r="AE27" s="1"/>
    </row>
    <row r="28" spans="24:31" ht="15">
      <c r="X28" s="1"/>
      <c r="Y28" s="1"/>
      <c r="Z28" s="1"/>
      <c r="AA28" s="1"/>
      <c r="AB28" s="1"/>
      <c r="AC28" s="1"/>
      <c r="AD28" s="1"/>
      <c r="AE28" s="1"/>
    </row>
  </sheetData>
  <sheetProtection/>
  <mergeCells count="3">
    <mergeCell ref="E1:I1"/>
    <mergeCell ref="C11:J11"/>
    <mergeCell ref="E20:F20"/>
  </mergeCells>
  <dataValidations count="5">
    <dataValidation type="list" allowBlank="1" showInputMessage="1" showErrorMessage="1" sqref="E16:G16">
      <formula1>$AB$12:$AB$13</formula1>
    </dataValidation>
    <dataValidation type="list" allowBlank="1" showInputMessage="1" showErrorMessage="1" sqref="D16">
      <formula1>$Z$12:$Z$14</formula1>
    </dataValidation>
    <dataValidation type="list" allowBlank="1" showInputMessage="1" showErrorMessage="1" sqref="H3">
      <formula1>OFFSET(INDIRECT($AD$3),0,0,$Y$3)</formula1>
    </dataValidation>
    <dataValidation type="list" allowBlank="1" showInputMessage="1" showErrorMessage="1" sqref="F3">
      <formula1>OFFSET(INDIRECT($AB$3),0,0,$Y$3)</formula1>
    </dataValidation>
    <dataValidation errorStyle="information" type="list" allowBlank="1" showInputMessage="1" showErrorMessage="1" promptTitle="Scelta Sottoipo" sqref="C3">
      <formula1>OFFSET(INDIRECT($Z$3),0,0,$Y$3)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CNI</dc:creator>
  <cp:keywords/>
  <dc:description/>
  <cp:lastModifiedBy>Utente</cp:lastModifiedBy>
  <cp:lastPrinted>2019-05-19T09:59:37Z</cp:lastPrinted>
  <dcterms:created xsi:type="dcterms:W3CDTF">2018-11-29T16:53:52Z</dcterms:created>
  <dcterms:modified xsi:type="dcterms:W3CDTF">2020-01-02T08:51:56Z</dcterms:modified>
  <cp:category/>
  <cp:version/>
  <cp:contentType/>
  <cp:contentStatus/>
</cp:coreProperties>
</file>