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36" yWindow="60" windowWidth="21030" windowHeight="5472" activeTab="2"/>
  </bookViews>
  <sheets>
    <sheet name="Introduzione" sheetId="5" r:id="rId1"/>
    <sheet name="producibilità" sheetId="1" r:id="rId2"/>
    <sheet name="fabbisogno ACS" sheetId="2" r:id="rId3"/>
    <sheet name="analisi economica" sheetId="4" r:id="rId4"/>
  </sheets>
  <calcPr calcId="144525"/>
</workbook>
</file>

<file path=xl/calcChain.xml><?xml version="1.0" encoding="utf-8"?>
<calcChain xmlns="http://schemas.openxmlformats.org/spreadsheetml/2006/main">
  <c r="B10" i="2" l="1"/>
  <c r="B19" i="1" l="1"/>
  <c r="B14" i="1"/>
  <c r="J17" i="1" l="1"/>
  <c r="K17" i="1"/>
  <c r="L17" i="1"/>
  <c r="M17" i="1"/>
  <c r="N17" i="1"/>
  <c r="O17" i="1"/>
  <c r="P17" i="1"/>
  <c r="Q17" i="1"/>
  <c r="R17" i="1"/>
  <c r="S17" i="1"/>
  <c r="T17" i="1"/>
  <c r="I17" i="1"/>
  <c r="T16" i="1"/>
  <c r="S16" i="1"/>
  <c r="R16" i="1"/>
  <c r="Q16" i="1"/>
  <c r="P16" i="1"/>
  <c r="O16" i="1"/>
  <c r="N16" i="1"/>
  <c r="M16" i="1"/>
  <c r="L16" i="1"/>
  <c r="K16" i="1"/>
  <c r="J16" i="1"/>
  <c r="I16" i="1"/>
  <c r="H30" i="4" l="1"/>
  <c r="E9" i="4" s="1"/>
  <c r="F9" i="4" s="1"/>
  <c r="D10" i="4"/>
  <c r="D11" i="4" s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D23" i="4" s="1"/>
  <c r="D24" i="4" s="1"/>
  <c r="D25" i="4" s="1"/>
  <c r="D26" i="4" s="1"/>
  <c r="D27" i="4" s="1"/>
  <c r="D28" i="4" s="1"/>
  <c r="D29" i="4" s="1"/>
  <c r="B9" i="1" l="1"/>
  <c r="B8" i="1" s="1"/>
  <c r="B20" i="1"/>
  <c r="B13" i="2"/>
  <c r="B8" i="2"/>
  <c r="I7" i="2" l="1"/>
  <c r="B15" i="1" s="1"/>
  <c r="K9" i="1" l="1"/>
  <c r="K15" i="1" s="1"/>
  <c r="I9" i="1"/>
  <c r="I15" i="1" s="1"/>
  <c r="J9" i="1"/>
  <c r="J15" i="1" s="1"/>
  <c r="S9" i="1"/>
  <c r="N9" i="1"/>
  <c r="N15" i="1" s="1"/>
  <c r="P9" i="1"/>
  <c r="P15" i="1" s="1"/>
  <c r="M9" i="1"/>
  <c r="M15" i="1" s="1"/>
  <c r="R12" i="1"/>
  <c r="L9" i="1"/>
  <c r="T9" i="1"/>
  <c r="N12" i="1"/>
  <c r="Q9" i="1"/>
  <c r="R9" i="1"/>
  <c r="M12" i="1"/>
  <c r="T12" i="1"/>
  <c r="S12" i="1"/>
  <c r="O9" i="1"/>
  <c r="O15" i="1" s="1"/>
  <c r="Q12" i="1"/>
  <c r="O12" i="1"/>
  <c r="L12" i="1"/>
  <c r="P12" i="1"/>
  <c r="K12" i="1"/>
  <c r="J12" i="1"/>
  <c r="I12" i="1"/>
  <c r="P10" i="1"/>
  <c r="P6" i="1"/>
  <c r="P7" i="1" s="1"/>
  <c r="M10" i="1"/>
  <c r="J10" i="1"/>
  <c r="J6" i="1"/>
  <c r="J7" i="1" s="1"/>
  <c r="O10" i="1"/>
  <c r="O6" i="1"/>
  <c r="O7" i="1" s="1"/>
  <c r="N10" i="1"/>
  <c r="K10" i="1"/>
  <c r="T13" i="1" l="1"/>
  <c r="M13" i="1"/>
  <c r="M8" i="1"/>
  <c r="R13" i="1"/>
  <c r="Q10" i="1"/>
  <c r="Q15" i="1"/>
  <c r="S13" i="1"/>
  <c r="N13" i="1"/>
  <c r="N8" i="1"/>
  <c r="J13" i="1"/>
  <c r="J8" i="1"/>
  <c r="S10" i="1"/>
  <c r="S15" i="1"/>
  <c r="S8" i="1" s="1"/>
  <c r="T10" i="1"/>
  <c r="T15" i="1"/>
  <c r="T8" i="1" s="1"/>
  <c r="I13" i="1"/>
  <c r="I8" i="1"/>
  <c r="L13" i="1"/>
  <c r="O13" i="1"/>
  <c r="O8" i="1"/>
  <c r="R10" i="1"/>
  <c r="R15" i="1"/>
  <c r="R8" i="1" s="1"/>
  <c r="L10" i="1"/>
  <c r="L15" i="1"/>
  <c r="L8" i="1" s="1"/>
  <c r="P13" i="1"/>
  <c r="P8" i="1"/>
  <c r="Q13" i="1"/>
  <c r="Q8" i="1"/>
  <c r="K13" i="1"/>
  <c r="K8" i="1"/>
  <c r="L6" i="1"/>
  <c r="L7" i="1" s="1"/>
  <c r="K6" i="1"/>
  <c r="K7" i="1" s="1"/>
  <c r="I6" i="1"/>
  <c r="I10" i="1"/>
  <c r="M6" i="1"/>
  <c r="M7" i="1" s="1"/>
  <c r="T6" i="1"/>
  <c r="T7" i="1" s="1"/>
  <c r="Q6" i="1"/>
  <c r="Q7" i="1" s="1"/>
  <c r="N6" i="1"/>
  <c r="N7" i="1" s="1"/>
  <c r="R6" i="1"/>
  <c r="R7" i="1" s="1"/>
  <c r="S6" i="1"/>
  <c r="S7" i="1" s="1"/>
  <c r="I7" i="1"/>
  <c r="H29" i="1" l="1"/>
  <c r="H10" i="4" s="1"/>
  <c r="H26" i="4" s="1"/>
  <c r="E22" i="4" s="1"/>
  <c r="E24" i="4" l="1"/>
  <c r="E29" i="4"/>
  <c r="E11" i="4"/>
  <c r="E21" i="4"/>
  <c r="E25" i="4"/>
  <c r="E20" i="4"/>
  <c r="E13" i="4"/>
  <c r="E19" i="4"/>
  <c r="E17" i="4"/>
  <c r="E23" i="4"/>
  <c r="E27" i="4"/>
  <c r="E15" i="4"/>
  <c r="E12" i="4"/>
  <c r="E28" i="4"/>
  <c r="E26" i="4"/>
  <c r="E16" i="4"/>
  <c r="E10" i="4"/>
  <c r="E18" i="4"/>
  <c r="E14" i="4"/>
  <c r="F23" i="4" l="1"/>
  <c r="F24" i="4"/>
  <c r="F25" i="4"/>
  <c r="F22" i="4"/>
  <c r="F15" i="4"/>
  <c r="F17" i="4"/>
  <c r="F14" i="4"/>
  <c r="H36" i="4"/>
  <c r="F28" i="4"/>
  <c r="H39" i="4" s="1"/>
  <c r="H42" i="4" s="1"/>
  <c r="F21" i="4"/>
  <c r="F13" i="4"/>
  <c r="F16" i="4"/>
  <c r="F26" i="4"/>
  <c r="F19" i="4"/>
  <c r="F27" i="4"/>
  <c r="F29" i="4"/>
  <c r="F18" i="4"/>
  <c r="F10" i="4"/>
  <c r="F11" i="4"/>
  <c r="F20" i="4"/>
  <c r="F12" i="4"/>
</calcChain>
</file>

<file path=xl/sharedStrings.xml><?xml version="1.0" encoding="utf-8"?>
<sst xmlns="http://schemas.openxmlformats.org/spreadsheetml/2006/main" count="143" uniqueCount="125">
  <si>
    <t>eta_0</t>
  </si>
  <si>
    <t>a1</t>
  </si>
  <si>
    <t>a2</t>
  </si>
  <si>
    <t>S</t>
  </si>
  <si>
    <t>Dati statistici</t>
  </si>
  <si>
    <t>Mese</t>
  </si>
  <si>
    <r>
      <t>Hm             [kWh/m</t>
    </r>
    <r>
      <rPr>
        <b/>
        <vertAlign val="superscript"/>
        <sz val="9"/>
        <rFont val="Arial"/>
        <family val="2"/>
      </rPr>
      <t>2</t>
    </r>
    <r>
      <rPr>
        <b/>
        <sz val="9"/>
        <rFont val="Arial"/>
        <family val="2"/>
      </rPr>
      <t>]</t>
    </r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</si>
  <si>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</si>
  <si>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</si>
  <si>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</si>
  <si>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</si>
  <si>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</si>
  <si>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</si>
  <si>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</si>
  <si>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</si>
  <si>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</si>
  <si>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</si>
  <si>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</si>
  <si>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</si>
  <si>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DIMENSIONAMENTO DELL'IMPIANTO SOLARE SECONDO LA NORMA UNI 15316-4-3 "f-chart"</t>
  </si>
  <si>
    <t>rho</t>
  </si>
  <si>
    <t>cp</t>
  </si>
  <si>
    <t>Tin</t>
  </si>
  <si>
    <t>Tout</t>
  </si>
  <si>
    <t>V</t>
  </si>
  <si>
    <t>a</t>
  </si>
  <si>
    <t>Nu</t>
  </si>
  <si>
    <t>CALCOLO DEL FABBISOGNO ACS</t>
  </si>
  <si>
    <t>f=a*Y+b*X+c*Y^2+d*X^2+e*Y^3+f'*X^3</t>
  </si>
  <si>
    <t>L</t>
  </si>
  <si>
    <t>b</t>
  </si>
  <si>
    <t>c</t>
  </si>
  <si>
    <t>d</t>
  </si>
  <si>
    <t>e</t>
  </si>
  <si>
    <t>f'</t>
  </si>
  <si>
    <t>Tmedia          [°C]</t>
  </si>
  <si>
    <t>Smart Grid and Renewable Energy, Vol.2 No.1(2011), Article ID:4037,8 pages DOI:10.4236/sgre.2011.21005</t>
  </si>
  <si>
    <t>Wh/(kg C)</t>
  </si>
  <si>
    <t>gg</t>
  </si>
  <si>
    <t>L [Wh]</t>
  </si>
  <si>
    <t>Su</t>
  </si>
  <si>
    <t>dT</t>
  </si>
  <si>
    <t>Tm</t>
  </si>
  <si>
    <t>Trif</t>
  </si>
  <si>
    <t>Fs</t>
  </si>
  <si>
    <t>Fr</t>
  </si>
  <si>
    <t>Fr'</t>
  </si>
  <si>
    <t>UL</t>
  </si>
  <si>
    <t>hd</t>
  </si>
  <si>
    <t>(tau*alpha)_av</t>
  </si>
  <si>
    <t>kg/l</t>
  </si>
  <si>
    <t>Y/S</t>
  </si>
  <si>
    <t>X/S</t>
  </si>
  <si>
    <t>Y=(S*Fr'*(tau*alpha)_av*Hm)/L</t>
  </si>
  <si>
    <t>Tasso attualizzazione</t>
  </si>
  <si>
    <t>NPV</t>
  </si>
  <si>
    <t>Costo annuo manutenzione (% costo installazione)</t>
  </si>
  <si>
    <t>Tasso interno di rendimento (IRR) in 20 anni</t>
  </si>
  <si>
    <t>VAN dopo 20 anni</t>
  </si>
  <si>
    <t>VAN% rispetto al costo d'investimento</t>
  </si>
  <si>
    <t>€/m2</t>
  </si>
  <si>
    <t>risparmio ENERGETICO</t>
  </si>
  <si>
    <t>Wh</t>
  </si>
  <si>
    <t>Potere calorifico inferiore del combustibile in caldaia</t>
  </si>
  <si>
    <t>costo del combustibile</t>
  </si>
  <si>
    <t>€/Nm3</t>
  </si>
  <si>
    <t>risparmio economico annuo</t>
  </si>
  <si>
    <t>€/anno</t>
  </si>
  <si>
    <t>Wh/Nm3</t>
  </si>
  <si>
    <t>SUPERFICIE IMPIANTO SOLARE</t>
  </si>
  <si>
    <t>numero mesi</t>
  </si>
  <si>
    <t>Tacs_min</t>
  </si>
  <si>
    <t>Xc</t>
  </si>
  <si>
    <t>ANALISI ECONOMICA</t>
  </si>
  <si>
    <t>Anno</t>
  </si>
  <si>
    <t>Flusso di cassa</t>
  </si>
  <si>
    <r>
      <t>Costo d'installazione per m</t>
    </r>
    <r>
      <rPr>
        <b/>
        <vertAlign val="superscript"/>
        <sz val="10"/>
        <rFont val="Arial"/>
        <family val="2"/>
      </rPr>
      <t>2</t>
    </r>
  </si>
  <si>
    <t>rendimento del generatore utilizzato per ACS</t>
  </si>
  <si>
    <r>
      <t>m</t>
    </r>
    <r>
      <rPr>
        <vertAlign val="superscript"/>
        <sz val="10"/>
        <rFont val="Arial"/>
        <family val="2"/>
      </rPr>
      <t>2</t>
    </r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</si>
  <si>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</si>
  <si>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</si>
  <si>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</si>
  <si>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</si>
  <si>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</si>
  <si>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</si>
  <si>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</si>
  <si>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</si>
  <si>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</si>
  <si>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</si>
  <si>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</si>
  <si>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</si>
  <si>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fi*Li</t>
  </si>
  <si>
    <t>coefficienti di correlazione</t>
  </si>
  <si>
    <t>DATI DI INGRESSO</t>
  </si>
  <si>
    <t>Partendo dal fabbisogno di energia e dalla superficie del campo solare il foglio di calcolo consente di calcolare il risparmio</t>
  </si>
  <si>
    <t xml:space="preserve">All'interno del piano economico, l'utente ha la possibilità di indicare il costo del combustibile risparmiato </t>
  </si>
  <si>
    <t>energetico e di valutare il ritorno economico dell'investimento.</t>
  </si>
  <si>
    <t>ULP</t>
  </si>
  <si>
    <t>MEDIA PESATA FRAZIONE SOLARE SU BASSE ANNUA</t>
  </si>
  <si>
    <t>T acqua rete</t>
  </si>
  <si>
    <t>f(Xc)</t>
  </si>
  <si>
    <t>Modello alternativo per sistema con ACS prevalente sostituire Xc ad X</t>
  </si>
  <si>
    <t>per capacità del serbatoio di accumulo maggiore di 75 l/m2 sostituire Xcc ad Xc</t>
  </si>
  <si>
    <t>Il presente foglio implementa il calcolo dell'energia prodotta da un impianto solare ai sensi della UNI 15316-4-3</t>
  </si>
  <si>
    <t>Per il calcolo del fabbisogno di un edificio è necessario fare riferimento alla UNI EN ISO 13790 e alle UNI/TS 11300.</t>
  </si>
  <si>
    <t>determinando il valore della frazione solare (mensile e annuale) sulla base dei dati inseriti dall'utente.</t>
  </si>
  <si>
    <t>L'utente ha la possibilità di modificare la superficie S dell'impianto come dato di partenza.</t>
  </si>
  <si>
    <t>e il relativo potere calorifico inferiore.</t>
  </si>
  <si>
    <t>L'utente ha la possibilità di personalizzare il presente foglio di calcolo sulla base del proprio caso studio.</t>
  </si>
  <si>
    <t>Il foglio di calcolo è stato sviluppato a fini prevalentemente didattici.</t>
  </si>
  <si>
    <t>Il suo uso come supporto alla progettazione degli impianti è nella completa e piena responsabilità dell'utente.</t>
  </si>
  <si>
    <t>METODO "f-chart" (UNI 15316-4-3:2018)</t>
  </si>
  <si>
    <t>Flusso di cassa = [Energia risparmiata / (rendimento generatore * Potere calorifico inferiore)]*costo vettore primario + detrazione fiscale (50% in 10 anni) - costo manutenzione</t>
  </si>
  <si>
    <t>TEMPERATURA ACQUA INGRESSO</t>
  </si>
  <si>
    <t xml:space="preserve">(dati inseriti da utente da Atlanti Solari con fattori di correzione </t>
  </si>
  <si>
    <t>sulla base di ombre e orientamento del collettore)</t>
  </si>
  <si>
    <t xml:space="preserve">RADIAZIONE SOLARE GLOBALE MENSILE SUL PIANO DEL COLLETTORE </t>
  </si>
  <si>
    <t>X=(S*Fr'*UL*dT*gg*hd)/L</t>
  </si>
  <si>
    <t>Nel foglio è implementato (foglio "producibilità") il calcolo del fabbisogno di Acqua Calda Sanitaria (ACS).</t>
  </si>
  <si>
    <t>MODIFICARE FORMULA I7</t>
  </si>
  <si>
    <t>SE SI UTILIZZANO DATI MENSILI VARIABILI</t>
  </si>
  <si>
    <t>collegamento diretto impianto pavimento</t>
  </si>
  <si>
    <t>ACS con e senza RISCALDAMENTO con ACCUMULO 0&lt;=X&lt;=18 0&lt;=Y&lt;=3</t>
  </si>
  <si>
    <t>da UNI 15316-4-3 e UNI/TS 11300-4:2016</t>
  </si>
  <si>
    <t>residenziali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</si>
</sst>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&quot;€&quot;\ #,##0.00"/>
    <numFmt numFmtId="166" formatCode="[$€-410]\ #,##0.00"/>
  </numFmts>
  <fonts count="1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b/>
      <vertAlign val="superscript"/>
      <sz val="9"/>
      <name val="Arial"/>
      <family val="2"/>
    </font>
    <font>
      <i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B0F0"/>
      <name val="Arial"/>
      <family val="2"/>
    </font>
    <font>
      <b/>
      <sz val="10"/>
      <color rgb="FFFF0000"/>
      <name val="Arial"/>
      <family val="2"/>
    </font>
    <font>
      <b/>
      <sz val="10"/>
      <color rgb="FF008000"/>
      <name val="Arial"/>
      <family val="2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Gray">
        <fgColor rgb="FF92D050"/>
        <bgColor theme="9" tint="0.39988402966399123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9" fontId="7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vertical="top" wrapText="1"/>
    </xf>
    <xf numFmtId="0" fontId="4" fillId="0" borderId="2" xfId="0" applyFont="1" applyBorder="1"/>
    <xf numFmtId="0" fontId="0" fillId="0" borderId="2" xfId="0" applyBorder="1" applyAlignment="1">
      <alignment horizontal="center"/>
    </xf>
    <xf numFmtId="0" fontId="2" fillId="0" borderId="0" xfId="0" applyFont="1" applyFill="1" applyBorder="1" applyAlignment="1">
      <alignment horizontal="center" vertical="top" wrapText="1"/>
    </xf>
    <xf numFmtId="0" fontId="5" fillId="0" borderId="0" xfId="0" applyFont="1"/>
    <xf numFmtId="0" fontId="6" fillId="0" borderId="3" xfId="0" applyFont="1" applyBorder="1"/>
    <xf numFmtId="0" fontId="0" fillId="0" borderId="4" xfId="0" applyBorder="1"/>
    <xf numFmtId="0" fontId="0" fillId="0" borderId="6" xfId="0" applyBorder="1"/>
    <xf numFmtId="0" fontId="0" fillId="0" borderId="0" xfId="0" applyBorder="1"/>
    <xf numFmtId="0" fontId="7" fillId="0" borderId="6" xfId="1" applyBorder="1"/>
    <xf numFmtId="0" fontId="7" fillId="0" borderId="0" xfId="1" applyBorder="1"/>
    <xf numFmtId="0" fontId="1" fillId="0" borderId="0" xfId="1" applyFont="1" applyBorder="1" applyAlignment="1">
      <alignment horizontal="center"/>
    </xf>
    <xf numFmtId="0" fontId="7" fillId="0" borderId="0" xfId="1" applyBorder="1" applyAlignment="1">
      <alignment wrapText="1"/>
    </xf>
    <xf numFmtId="0" fontId="7" fillId="3" borderId="6" xfId="1" applyFill="1" applyBorder="1"/>
    <xf numFmtId="166" fontId="10" fillId="3" borderId="0" xfId="1" applyNumberFormat="1" applyFont="1" applyFill="1" applyBorder="1"/>
    <xf numFmtId="166" fontId="7" fillId="3" borderId="0" xfId="1" applyNumberFormat="1" applyFont="1" applyFill="1" applyBorder="1"/>
    <xf numFmtId="0" fontId="7" fillId="0" borderId="9" xfId="1" applyBorder="1"/>
    <xf numFmtId="0" fontId="7" fillId="0" borderId="10" xfId="1" applyBorder="1"/>
    <xf numFmtId="0" fontId="0" fillId="0" borderId="2" xfId="0" applyBorder="1"/>
    <xf numFmtId="0" fontId="11" fillId="0" borderId="0" xfId="0" applyFont="1"/>
    <xf numFmtId="0" fontId="1" fillId="4" borderId="8" xfId="1" applyFont="1" applyFill="1" applyBorder="1" applyAlignment="1">
      <alignment horizontal="center" vertical="center" wrapText="1"/>
    </xf>
    <xf numFmtId="0" fontId="1" fillId="4" borderId="2" xfId="1" applyFont="1" applyFill="1" applyBorder="1" applyAlignment="1">
      <alignment horizontal="center" vertical="center" wrapText="1"/>
    </xf>
    <xf numFmtId="0" fontId="7" fillId="4" borderId="8" xfId="1" applyFill="1" applyBorder="1"/>
    <xf numFmtId="165" fontId="9" fillId="4" borderId="2" xfId="1" applyNumberFormat="1" applyFont="1" applyFill="1" applyBorder="1"/>
    <xf numFmtId="165" fontId="7" fillId="4" borderId="2" xfId="1" applyNumberFormat="1" applyFont="1" applyFill="1" applyBorder="1"/>
    <xf numFmtId="166" fontId="10" fillId="4" borderId="2" xfId="1" applyNumberFormat="1" applyFont="1" applyFill="1" applyBorder="1"/>
    <xf numFmtId="166" fontId="7" fillId="4" borderId="2" xfId="1" applyNumberFormat="1" applyFont="1" applyFill="1" applyBorder="1"/>
    <xf numFmtId="0" fontId="0" fillId="4" borderId="0" xfId="0" applyFill="1"/>
    <xf numFmtId="0" fontId="12" fillId="0" borderId="0" xfId="0" applyFont="1" applyAlignment="1">
      <alignment vertical="center"/>
    </xf>
    <xf numFmtId="0" fontId="4" fillId="0" borderId="0" xfId="0" applyFont="1" applyFill="1" applyBorder="1"/>
    <xf numFmtId="0" fontId="1" fillId="0" borderId="2" xfId="0" applyFont="1" applyBorder="1"/>
    <xf numFmtId="0" fontId="12" fillId="0" borderId="2" xfId="0" applyFont="1" applyBorder="1" applyAlignment="1">
      <alignment vertical="center"/>
    </xf>
    <xf numFmtId="0" fontId="13" fillId="4" borderId="0" xfId="0" applyFont="1" applyFill="1"/>
    <xf numFmtId="0" fontId="1" fillId="5" borderId="11" xfId="1" applyFont="1" applyFill="1" applyBorder="1" applyAlignment="1">
      <alignment horizontal="center" wrapText="1"/>
    </xf>
    <xf numFmtId="0" fontId="7" fillId="5" borderId="11" xfId="1" applyFont="1" applyFill="1" applyBorder="1"/>
    <xf numFmtId="0" fontId="1" fillId="5" borderId="11" xfId="1" applyFont="1" applyFill="1" applyBorder="1" applyAlignment="1">
      <alignment horizontal="center"/>
    </xf>
    <xf numFmtId="0" fontId="7" fillId="5" borderId="11" xfId="1" applyFill="1" applyBorder="1"/>
    <xf numFmtId="0" fontId="8" fillId="5" borderId="11" xfId="1" applyFont="1" applyFill="1" applyBorder="1" applyAlignment="1">
      <alignment horizontal="center"/>
    </xf>
    <xf numFmtId="0" fontId="9" fillId="5" borderId="11" xfId="1" applyFont="1" applyFill="1" applyBorder="1" applyAlignment="1">
      <alignment horizontal="center"/>
    </xf>
    <xf numFmtId="0" fontId="7" fillId="5" borderId="11" xfId="1" applyFill="1" applyBorder="1" applyAlignment="1">
      <alignment horizontal="center"/>
    </xf>
    <xf numFmtId="2" fontId="8" fillId="5" borderId="11" xfId="1" applyNumberFormat="1" applyFont="1" applyFill="1" applyBorder="1" applyAlignment="1">
      <alignment horizontal="center"/>
    </xf>
    <xf numFmtId="164" fontId="8" fillId="5" borderId="11" xfId="2" applyNumberFormat="1" applyFont="1" applyFill="1" applyBorder="1" applyAlignment="1">
      <alignment horizontal="center"/>
    </xf>
    <xf numFmtId="164" fontId="9" fillId="5" borderId="11" xfId="2" applyNumberFormat="1" applyFont="1" applyFill="1" applyBorder="1" applyAlignment="1">
      <alignment horizontal="center"/>
    </xf>
    <xf numFmtId="166" fontId="9" fillId="5" borderId="11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64" fontId="8" fillId="5" borderId="11" xfId="1" applyNumberFormat="1" applyFont="1" applyFill="1" applyBorder="1" applyAlignment="1">
      <alignment horizontal="center"/>
    </xf>
    <xf numFmtId="0" fontId="7" fillId="5" borderId="11" xfId="1" applyFill="1" applyBorder="1" applyAlignment="1">
      <alignment horizontal="center" wrapText="1"/>
    </xf>
    <xf numFmtId="0" fontId="7" fillId="5" borderId="11" xfId="1" applyFont="1" applyFill="1" applyBorder="1" applyAlignment="1">
      <alignment horizontal="center"/>
    </xf>
    <xf numFmtId="0" fontId="0" fillId="2" borderId="2" xfId="0" applyFill="1" applyBorder="1"/>
    <xf numFmtId="0" fontId="0" fillId="4" borderId="2" xfId="0" applyFill="1" applyBorder="1"/>
    <xf numFmtId="0" fontId="0" fillId="6" borderId="2" xfId="0" applyFill="1" applyBorder="1"/>
    <xf numFmtId="0" fontId="0" fillId="7" borderId="2" xfId="0" applyFill="1" applyBorder="1"/>
    <xf numFmtId="0" fontId="0" fillId="8" borderId="2" xfId="0" applyFill="1" applyBorder="1"/>
    <xf numFmtId="0" fontId="13" fillId="0" borderId="0" xfId="0" applyFont="1"/>
    <xf numFmtId="0" fontId="16" fillId="0" borderId="0" xfId="0" applyFont="1"/>
    <xf numFmtId="0" fontId="17" fillId="0" borderId="0" xfId="0" applyFont="1"/>
    <xf numFmtId="0" fontId="13" fillId="0" borderId="2" xfId="0" applyFont="1" applyBorder="1"/>
    <xf numFmtId="0" fontId="13" fillId="0" borderId="2" xfId="0" applyFont="1" applyBorder="1" applyAlignment="1">
      <alignment horizontal="center"/>
    </xf>
    <xf numFmtId="0" fontId="16" fillId="9" borderId="0" xfId="0" applyFont="1" applyFill="1" applyProtection="1"/>
    <xf numFmtId="0" fontId="0" fillId="9" borderId="0" xfId="0" applyFill="1" applyProtection="1"/>
    <xf numFmtId="0" fontId="4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8" fillId="0" borderId="0" xfId="0" applyFont="1"/>
  </cellXfs>
  <cellStyles count="3">
    <cellStyle name="Normale" xfId="0" builtinId="0"/>
    <cellStyle name="Normale 2" xfId="1"/>
    <cellStyle name="Percentu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78377</xdr:colOff>
      <xdr:row>32</xdr:row>
      <xdr:rowOff>152181</xdr:rowOff>
    </xdr:from>
    <xdr:to>
      <xdr:col>10</xdr:col>
      <xdr:colOff>9029</xdr:colOff>
      <xdr:row>50</xdr:row>
      <xdr:rowOff>146957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347" y="6366291"/>
          <a:ext cx="5020812" cy="3416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622118</xdr:colOff>
      <xdr:row>28</xdr:row>
      <xdr:rowOff>44086</xdr:rowOff>
    </xdr:from>
    <xdr:to>
      <xdr:col>6</xdr:col>
      <xdr:colOff>687541</xdr:colOff>
      <xdr:row>30</xdr:row>
      <xdr:rowOff>156209</xdr:rowOff>
    </xdr:to>
    <xdr:pic>
      <xdr:nvPicPr>
        <xdr:cNvPr id="7" name="Immagin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biLevel thresh="75000"/>
          <a:lum bright="-1000" contrast="-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008" y="5416186"/>
          <a:ext cx="1345583" cy="5883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3810</xdr:colOff>
      <xdr:row>20</xdr:row>
      <xdr:rowOff>30480</xdr:rowOff>
    </xdr:from>
    <xdr:to>
      <xdr:col>14</xdr:col>
      <xdr:colOff>156210</xdr:colOff>
      <xdr:row>23</xdr:row>
      <xdr:rowOff>95250</xdr:rowOff>
    </xdr:to>
    <xdr:pic>
      <xdr:nvPicPr>
        <xdr:cNvPr id="9" name="Immagin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biLevel thresh="75000"/>
          <a:lum bright="-1000" contrast="-7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3940" y="3939540"/>
          <a:ext cx="3074670" cy="6134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15240</xdr:colOff>
      <xdr:row>26</xdr:row>
      <xdr:rowOff>22860</xdr:rowOff>
    </xdr:from>
    <xdr:to>
      <xdr:col>12</xdr:col>
      <xdr:colOff>300990</xdr:colOff>
      <xdr:row>29</xdr:row>
      <xdr:rowOff>91440</xdr:rowOff>
    </xdr:to>
    <xdr:pic>
      <xdr:nvPicPr>
        <xdr:cNvPr id="10" name="Immagine 9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lum bright="-1000" contrast="-7000"/>
          <a:biLevel thresh="75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5370" y="5029200"/>
          <a:ext cx="1565910" cy="727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12</xdr:col>
      <xdr:colOff>421711</xdr:colOff>
      <xdr:row>4</xdr:row>
      <xdr:rowOff>54900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80560" y="365760"/>
          <a:ext cx="3755461" cy="420660"/>
        </a:xfrm>
        <a:prstGeom prst="rect">
          <a:avLst/>
        </a:prstGeom>
      </xdr:spPr>
    </xdr:pic>
    <xdr:clientData/>
  </xdr:twoCellAnchor>
  <xdr:twoCellAnchor editAs="oneCell">
    <xdr:from>
      <xdr:col>5</xdr:col>
      <xdr:colOff>270510</xdr:colOff>
      <xdr:row>42</xdr:row>
      <xdr:rowOff>83820</xdr:rowOff>
    </xdr:from>
    <xdr:to>
      <xdr:col>17</xdr:col>
      <xdr:colOff>166313</xdr:colOff>
      <xdr:row>78</xdr:row>
      <xdr:rowOff>148590</xdr:rowOff>
    </xdr:to>
    <xdr:pic>
      <xdr:nvPicPr>
        <xdr:cNvPr id="5" name="Immagin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70910" y="7791450"/>
          <a:ext cx="7710113" cy="6648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580647</xdr:colOff>
      <xdr:row>15</xdr:row>
      <xdr:rowOff>30480</xdr:rowOff>
    </xdr:from>
    <xdr:to>
      <xdr:col>16</xdr:col>
      <xdr:colOff>392431</xdr:colOff>
      <xdr:row>42</xdr:row>
      <xdr:rowOff>76660</xdr:rowOff>
    </xdr:to>
    <xdr:pic>
      <xdr:nvPicPr>
        <xdr:cNvPr id="6" name="Immagin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047" y="2800350"/>
          <a:ext cx="6986014" cy="49839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K22"/>
  <sheetViews>
    <sheetView workbookViewId="0">
      <selection activeCell="D11" sqref="D11"/>
    </sheetView>
  </sheetViews>
  <sheetFormatPr defaultRowHeight="14.4" x14ac:dyDescent="0.55000000000000004"/>
  <sheetData>
    <row r="1" spans="1:11" x14ac:dyDescent="0.55000000000000004">
      <c r="A1" s="62" t="s">
        <v>111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x14ac:dyDescent="0.55000000000000004">
      <c r="A2" s="63" t="s">
        <v>103</v>
      </c>
      <c r="B2" s="63"/>
      <c r="C2" s="63"/>
      <c r="D2" s="63"/>
      <c r="E2" s="63"/>
      <c r="F2" s="63"/>
      <c r="G2" s="63"/>
      <c r="H2" s="63"/>
      <c r="I2" s="63"/>
      <c r="J2" s="63"/>
      <c r="K2" s="63"/>
    </row>
    <row r="3" spans="1:11" x14ac:dyDescent="0.55000000000000004">
      <c r="A3" s="63" t="s">
        <v>105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x14ac:dyDescent="0.55000000000000004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1" x14ac:dyDescent="0.55000000000000004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x14ac:dyDescent="0.55000000000000004">
      <c r="A6" s="63" t="s">
        <v>104</v>
      </c>
      <c r="B6" s="63"/>
      <c r="C6" s="63"/>
      <c r="D6" s="63"/>
      <c r="E6" s="63"/>
      <c r="F6" s="63"/>
      <c r="G6" s="63"/>
      <c r="H6" s="63"/>
      <c r="I6" s="63"/>
      <c r="J6" s="63"/>
      <c r="K6" s="63"/>
    </row>
    <row r="7" spans="1:11" x14ac:dyDescent="0.55000000000000004">
      <c r="A7" s="63" t="s">
        <v>118</v>
      </c>
      <c r="B7" s="63"/>
      <c r="C7" s="63"/>
      <c r="D7" s="63"/>
      <c r="E7" s="63"/>
      <c r="F7" s="63"/>
      <c r="G7" s="63"/>
      <c r="H7" s="63"/>
      <c r="I7" s="63"/>
      <c r="J7" s="63"/>
      <c r="K7" s="63"/>
    </row>
    <row r="8" spans="1:11" x14ac:dyDescent="0.55000000000000004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</row>
    <row r="9" spans="1:11" x14ac:dyDescent="0.55000000000000004">
      <c r="A9" s="63" t="s">
        <v>106</v>
      </c>
      <c r="B9" s="63"/>
      <c r="C9" s="63"/>
      <c r="D9" s="63"/>
      <c r="E9" s="63"/>
      <c r="F9" s="63"/>
      <c r="G9" s="63"/>
      <c r="H9" s="63"/>
      <c r="I9" s="63"/>
      <c r="J9" s="63"/>
      <c r="K9" s="63"/>
    </row>
    <row r="10" spans="1:11" x14ac:dyDescent="0.55000000000000004">
      <c r="A10" s="63"/>
      <c r="B10" s="63"/>
      <c r="C10" s="63"/>
      <c r="D10" s="63"/>
      <c r="E10" s="63"/>
      <c r="F10" s="63"/>
      <c r="G10" s="63"/>
      <c r="H10" s="63"/>
      <c r="I10" s="63"/>
      <c r="J10" s="63"/>
      <c r="K10" s="63"/>
    </row>
    <row r="11" spans="1:11" x14ac:dyDescent="0.55000000000000004">
      <c r="A11" s="63" t="s">
        <v>94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</row>
    <row r="12" spans="1:11" x14ac:dyDescent="0.55000000000000004">
      <c r="A12" s="63" t="s">
        <v>96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</row>
    <row r="13" spans="1:11" x14ac:dyDescent="0.55000000000000004">
      <c r="A13" s="63"/>
      <c r="B13" s="63"/>
      <c r="C13" s="63"/>
      <c r="D13" s="63"/>
      <c r="E13" s="63"/>
      <c r="F13" s="63"/>
      <c r="G13" s="63"/>
      <c r="H13" s="63"/>
      <c r="I13" s="63"/>
      <c r="J13" s="63"/>
      <c r="K13" s="63"/>
    </row>
    <row r="14" spans="1:11" x14ac:dyDescent="0.55000000000000004">
      <c r="A14" s="63" t="s">
        <v>95</v>
      </c>
      <c r="B14" s="63"/>
      <c r="C14" s="63"/>
      <c r="D14" s="63"/>
      <c r="E14" s="63"/>
      <c r="F14" s="63"/>
      <c r="G14" s="63"/>
      <c r="H14" s="63"/>
      <c r="I14" s="63"/>
      <c r="J14" s="63"/>
      <c r="K14" s="63"/>
    </row>
    <row r="15" spans="1:11" x14ac:dyDescent="0.55000000000000004">
      <c r="A15" s="63" t="s">
        <v>107</v>
      </c>
      <c r="B15" s="63"/>
      <c r="C15" s="63"/>
      <c r="D15" s="63"/>
      <c r="E15" s="63"/>
      <c r="F15" s="63"/>
      <c r="G15" s="63"/>
      <c r="H15" s="63"/>
      <c r="I15" s="63"/>
      <c r="J15" s="63"/>
      <c r="K15" s="63"/>
    </row>
    <row r="16" spans="1:11" x14ac:dyDescent="0.55000000000000004">
      <c r="A16" s="63"/>
      <c r="B16" s="63"/>
      <c r="C16" s="63"/>
      <c r="D16" s="63"/>
      <c r="E16" s="63"/>
      <c r="F16" s="63"/>
      <c r="G16" s="63"/>
      <c r="H16" s="63"/>
      <c r="I16" s="63"/>
      <c r="J16" s="63"/>
      <c r="K16" s="63"/>
    </row>
    <row r="17" spans="1:11" x14ac:dyDescent="0.55000000000000004">
      <c r="A17" s="63" t="s">
        <v>108</v>
      </c>
      <c r="B17" s="63"/>
      <c r="C17" s="63"/>
      <c r="D17" s="63"/>
      <c r="E17" s="63"/>
      <c r="F17" s="63"/>
      <c r="G17" s="63"/>
      <c r="H17" s="63"/>
      <c r="I17" s="63"/>
      <c r="J17" s="63"/>
      <c r="K17" s="63"/>
    </row>
    <row r="18" spans="1:11" x14ac:dyDescent="0.55000000000000004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</row>
    <row r="19" spans="1:11" x14ac:dyDescent="0.55000000000000004">
      <c r="A19" s="63" t="s">
        <v>109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</row>
    <row r="20" spans="1:11" x14ac:dyDescent="0.55000000000000004">
      <c r="A20" s="63" t="s">
        <v>110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</row>
    <row r="21" spans="1:11" x14ac:dyDescent="0.55000000000000004">
      <c r="A21" s="63"/>
      <c r="B21" s="63"/>
      <c r="C21" s="63"/>
      <c r="D21" s="63"/>
      <c r="E21" s="63"/>
      <c r="F21" s="63"/>
      <c r="G21" s="63"/>
      <c r="H21" s="63"/>
      <c r="I21" s="63"/>
      <c r="J21" s="63"/>
      <c r="K21" s="63"/>
    </row>
    <row r="22" spans="1:11" x14ac:dyDescent="0.55000000000000004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</row>
  </sheetData>
  <sheetProtection password="CDBE" sheet="1" objects="1" scenarios="1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T66"/>
  <sheetViews>
    <sheetView topLeftCell="A16" zoomScaleNormal="100" workbookViewId="0">
      <selection activeCell="C10" sqref="C10"/>
    </sheetView>
  </sheetViews>
  <sheetFormatPr defaultRowHeight="14.4" x14ac:dyDescent="0.55000000000000004"/>
  <cols>
    <col min="1" max="1" width="13.05078125" customWidth="1"/>
    <col min="3" max="3" width="13.62890625" customWidth="1"/>
    <col min="7" max="7" width="12.7890625" customWidth="1"/>
    <col min="8" max="8" width="16.89453125" customWidth="1"/>
    <col min="9" max="9" width="13.83984375" customWidth="1"/>
    <col min="10" max="10" width="17.9453125" customWidth="1"/>
    <col min="13" max="13" width="11.1015625" customWidth="1"/>
    <col min="14" max="14" width="11.578125" bestFit="1" customWidth="1"/>
    <col min="17" max="17" width="12.9453125" customWidth="1"/>
    <col min="19" max="19" width="10.9453125" customWidth="1"/>
    <col min="20" max="20" width="9.68359375" customWidth="1"/>
  </cols>
  <sheetData>
    <row r="1" spans="1:20" x14ac:dyDescent="0.55000000000000004">
      <c r="A1" s="57" t="s">
        <v>19</v>
      </c>
    </row>
    <row r="4" spans="1:20" x14ac:dyDescent="0.55000000000000004">
      <c r="A4" s="58" t="s">
        <v>93</v>
      </c>
    </row>
    <row r="5" spans="1:20" x14ac:dyDescent="0.55000000000000004">
      <c r="A5" s="20" t="s">
        <v>0</v>
      </c>
      <c r="B5" s="20">
        <v>0.79500000000000004</v>
      </c>
      <c r="F5" s="20"/>
      <c r="G5" s="20"/>
      <c r="H5" s="20"/>
      <c r="I5" s="60" t="s">
        <v>79</v>
      </c>
      <c r="J5" s="60" t="s">
        <v>80</v>
      </c>
      <c r="K5" s="60" t="s">
        <v>81</v>
      </c>
      <c r="L5" s="60" t="s">
        <v>82</v>
      </c>
      <c r="M5" s="60" t="s">
        <v>83</v>
      </c>
      <c r="N5" s="60" t="s">
        <v>84</v>
      </c>
      <c r="O5" s="60" t="s">
        <v>85</v>
      </c>
      <c r="P5" s="60" t="s">
        <v>86</v>
      </c>
      <c r="Q5" s="60" t="s">
        <v>87</v>
      </c>
      <c r="R5" s="60" t="s">
        <v>88</v>
      </c>
      <c r="S5" s="60" t="s">
        <v>89</v>
      </c>
      <c r="T5" s="60" t="s">
        <v>90</v>
      </c>
    </row>
    <row r="6" spans="1:20" x14ac:dyDescent="0.55000000000000004">
      <c r="A6" s="20" t="s">
        <v>1</v>
      </c>
      <c r="B6" s="20">
        <v>3.5939999999999999</v>
      </c>
      <c r="F6" s="60" t="s">
        <v>28</v>
      </c>
      <c r="G6" s="20"/>
      <c r="H6" s="20"/>
      <c r="I6" s="20">
        <f>$H$19*I12+$H$20*I9+$H$21*I12^2+$H$22*I9^2+$H$23*I12^3+$H$24*I9^3</f>
        <v>0.11943164259624486</v>
      </c>
      <c r="J6" s="20">
        <f t="shared" ref="J6:T6" si="0">$H$19*J12+$H$20*J9+$H$21*J12^2+$H$22*J9^2+$H$23*J12^3+$H$24*J9^3</f>
        <v>0.17104395534896044</v>
      </c>
      <c r="K6" s="20">
        <f t="shared" si="0"/>
        <v>0.20299947302926777</v>
      </c>
      <c r="L6" s="20">
        <f t="shared" si="0"/>
        <v>0.34968494738034867</v>
      </c>
      <c r="M6" s="20">
        <f t="shared" si="0"/>
        <v>0.41462147326357662</v>
      </c>
      <c r="N6" s="20">
        <f t="shared" si="0"/>
        <v>0.40903433271937378</v>
      </c>
      <c r="O6" s="20">
        <f t="shared" si="0"/>
        <v>0.42022300574770932</v>
      </c>
      <c r="P6" s="20">
        <f t="shared" si="0"/>
        <v>0.41889914152844471</v>
      </c>
      <c r="Q6" s="20">
        <f t="shared" si="0"/>
        <v>0.28278228344669515</v>
      </c>
      <c r="R6" s="20">
        <f t="shared" si="0"/>
        <v>0.20094093880069405</v>
      </c>
      <c r="S6" s="20">
        <f t="shared" si="0"/>
        <v>0.14538481484343391</v>
      </c>
      <c r="T6" s="20">
        <f t="shared" si="0"/>
        <v>0.12606203409233227</v>
      </c>
    </row>
    <row r="7" spans="1:20" x14ac:dyDescent="0.55000000000000004">
      <c r="A7" s="20" t="s">
        <v>2</v>
      </c>
      <c r="B7" s="20">
        <v>1.4E-2</v>
      </c>
      <c r="F7" s="20" t="s">
        <v>91</v>
      </c>
      <c r="G7" s="20"/>
      <c r="H7" s="20"/>
      <c r="I7" s="20">
        <f>I6*$B$15</f>
        <v>303167.4373074568</v>
      </c>
      <c r="J7" s="20">
        <f t="shared" ref="J7:T7" si="1">J6*$B$15</f>
        <v>434181.06360119523</v>
      </c>
      <c r="K7" s="20">
        <f t="shared" si="1"/>
        <v>515297.52647798142</v>
      </c>
      <c r="L7" s="20">
        <f t="shared" si="1"/>
        <v>887646.58224357723</v>
      </c>
      <c r="M7" s="20">
        <f t="shared" si="1"/>
        <v>1052482.6316498553</v>
      </c>
      <c r="N7" s="20">
        <f t="shared" si="1"/>
        <v>1038300.1332445639</v>
      </c>
      <c r="O7" s="20">
        <f t="shared" si="1"/>
        <v>1066701.662815239</v>
      </c>
      <c r="P7" s="20">
        <f t="shared" si="1"/>
        <v>1063341.1419853086</v>
      </c>
      <c r="Q7" s="20">
        <f t="shared" si="1"/>
        <v>717819.65252130711</v>
      </c>
      <c r="R7" s="20">
        <f t="shared" si="1"/>
        <v>510072.10603562708</v>
      </c>
      <c r="S7" s="20">
        <f t="shared" si="1"/>
        <v>369047.43819448055</v>
      </c>
      <c r="T7" s="20">
        <f t="shared" si="1"/>
        <v>319998.14275969157</v>
      </c>
    </row>
    <row r="8" spans="1:20" x14ac:dyDescent="0.55000000000000004">
      <c r="A8" s="55" t="s">
        <v>47</v>
      </c>
      <c r="B8" s="55">
        <f>B6+40*B7+B9/B10</f>
        <v>5.1539999999999999</v>
      </c>
      <c r="C8" s="66" t="s">
        <v>123</v>
      </c>
      <c r="F8" s="20" t="s">
        <v>100</v>
      </c>
      <c r="G8" s="20"/>
      <c r="H8" s="20"/>
      <c r="I8" s="20">
        <f>$H$19*I12+$H$20*I15+$H$21*I12^2+$H$22*I15^2+$H$23*I12^3+$H$24*I15^3</f>
        <v>0.10993637443293897</v>
      </c>
      <c r="J8" s="20">
        <f t="shared" ref="J8:T8" si="2">$H$19*J12+$H$20*J15+$H$21*J12^2+$H$22*J15^2+$H$23*J12^3+$H$24*J15^3</f>
        <v>0.16472459698444009</v>
      </c>
      <c r="K8" s="20">
        <f t="shared" si="2"/>
        <v>0.19605636478888003</v>
      </c>
      <c r="L8" s="20">
        <f t="shared" si="2"/>
        <v>0.34847433077684076</v>
      </c>
      <c r="M8" s="20">
        <f t="shared" si="2"/>
        <v>0.4152173028599872</v>
      </c>
      <c r="N8" s="20">
        <f t="shared" si="2"/>
        <v>0.4145976800578503</v>
      </c>
      <c r="O8" s="20">
        <f t="shared" si="2"/>
        <v>0.42949725821636875</v>
      </c>
      <c r="P8" s="20">
        <f t="shared" si="2"/>
        <v>0.42640116439048403</v>
      </c>
      <c r="Q8" s="20">
        <f t="shared" si="2"/>
        <v>0.2854743373881708</v>
      </c>
      <c r="R8" s="20">
        <f t="shared" si="2"/>
        <v>0.20034269448749359</v>
      </c>
      <c r="S8" s="20">
        <f t="shared" si="2"/>
        <v>0.14062064817413383</v>
      </c>
      <c r="T8" s="20">
        <f t="shared" si="2"/>
        <v>0.11498012430031014</v>
      </c>
    </row>
    <row r="9" spans="1:20" x14ac:dyDescent="0.55000000000000004">
      <c r="A9" s="55" t="s">
        <v>97</v>
      </c>
      <c r="B9" s="55">
        <f>5+0.5*B10</f>
        <v>10</v>
      </c>
      <c r="C9" s="66" t="s">
        <v>123</v>
      </c>
      <c r="F9" s="52" t="s">
        <v>117</v>
      </c>
      <c r="G9" s="52"/>
      <c r="H9" s="52"/>
      <c r="I9" s="20">
        <f>($B$10*$B$20*$B$8*I17*D38*B24)/B15</f>
        <v>1.3024078781724289</v>
      </c>
      <c r="J9" s="20">
        <f>($B$10*$B$20*$B$8*J17*D39*$B$24)/$B$15</f>
        <v>1.1470203377479937</v>
      </c>
      <c r="K9" s="20">
        <f>($B$10*$B$20*$B$8*K17*D40*$B$24)/$B$15</f>
        <v>1.2699153739352786</v>
      </c>
      <c r="L9" s="20">
        <f>($B$10*$B$20*$B$8*L17*D41*$B$24)/$B$15</f>
        <v>1.159510735882167</v>
      </c>
      <c r="M9" s="20">
        <f>($B$10*$B$20*$B$8*D42*M17*$B$24)/$B$15</f>
        <v>1.175145569910258</v>
      </c>
      <c r="N9" s="20">
        <f>($B$10*$B$20*$B$8*N17*D43*$B$24)/$B$15</f>
        <v>1.0756591120443606</v>
      </c>
      <c r="O9" s="20">
        <f>($B$10*$B$20*$B$8*O17*D44*$B$24)/$B$15</f>
        <v>1.0681910767963061</v>
      </c>
      <c r="P9" s="20">
        <f>($B$10*$B$20*$B$8*P17*D45*$B$24)/$B$15</f>
        <v>1.0898527462877394</v>
      </c>
      <c r="Q9" s="20">
        <f>($B$10*$B$20*$B$8*Q17*D46*$B$24)/$B$15</f>
        <v>1.1110340158509353</v>
      </c>
      <c r="R9" s="20">
        <f>($B$10*$B$20*$B$8*R17*D47*$B$24)/$B$15</f>
        <v>1.1900379676856185</v>
      </c>
      <c r="S9" s="20">
        <f>($B$10*$B$20*$B$8*S17*D48*$B$24)/$B$15</f>
        <v>1.2040569110460018</v>
      </c>
      <c r="T9" s="20">
        <f>($B$10*$B$20*$B$8*T17*D49*$B$24)/$B$15</f>
        <v>1.3227156933206476</v>
      </c>
    </row>
    <row r="10" spans="1:20" x14ac:dyDescent="0.55000000000000004">
      <c r="A10" s="54" t="s">
        <v>3</v>
      </c>
      <c r="B10" s="54">
        <v>10</v>
      </c>
      <c r="F10" s="20" t="s">
        <v>52</v>
      </c>
      <c r="G10" s="20"/>
      <c r="H10" s="20"/>
      <c r="I10" s="20">
        <f>I9/$B$10</f>
        <v>0.13024078781724288</v>
      </c>
      <c r="J10" s="20">
        <f t="shared" ref="J10:T10" si="3">J9/$B$10</f>
        <v>0.11470203377479937</v>
      </c>
      <c r="K10" s="20">
        <f t="shared" si="3"/>
        <v>0.12699153739352786</v>
      </c>
      <c r="L10" s="20">
        <f t="shared" si="3"/>
        <v>0.1159510735882167</v>
      </c>
      <c r="M10" s="20">
        <f t="shared" si="3"/>
        <v>0.1175145569910258</v>
      </c>
      <c r="N10" s="20">
        <f t="shared" si="3"/>
        <v>0.10756591120443607</v>
      </c>
      <c r="O10" s="20">
        <f t="shared" si="3"/>
        <v>0.10681910767963061</v>
      </c>
      <c r="P10" s="20">
        <f t="shared" si="3"/>
        <v>0.10898527462877394</v>
      </c>
      <c r="Q10" s="20">
        <f t="shared" si="3"/>
        <v>0.11110340158509353</v>
      </c>
      <c r="R10" s="20">
        <f t="shared" si="3"/>
        <v>0.11900379676856185</v>
      </c>
      <c r="S10" s="20">
        <f t="shared" si="3"/>
        <v>0.12040569110460017</v>
      </c>
      <c r="T10" s="20">
        <f t="shared" si="3"/>
        <v>0.13227156933206477</v>
      </c>
    </row>
    <row r="11" spans="1:20" x14ac:dyDescent="0.55000000000000004">
      <c r="A11" s="20"/>
      <c r="B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</row>
    <row r="12" spans="1:20" x14ac:dyDescent="0.55000000000000004">
      <c r="A12" s="20" t="s">
        <v>43</v>
      </c>
      <c r="B12" s="20">
        <v>100</v>
      </c>
      <c r="F12" s="53" t="s">
        <v>53</v>
      </c>
      <c r="G12" s="53"/>
      <c r="H12" s="53"/>
      <c r="I12" s="20">
        <f>($B$10*$B$20*$B$14*B38*1000)/$B$15</f>
        <v>0.20521560662555166</v>
      </c>
      <c r="J12" s="20">
        <f>($B$10*$B$20*$B$14*B39*1000)/$B$15</f>
        <v>0.25105313622395653</v>
      </c>
      <c r="K12" s="20">
        <f>($B$10*$B$20*$B$14*B40*1000)/$B$15</f>
        <v>0.29483744314692373</v>
      </c>
      <c r="L12" s="20">
        <f>($B$10*$B$20*$B$14*B41*1000)/$B$15</f>
        <v>0.45882860488641736</v>
      </c>
      <c r="M12" s="20">
        <f>($B$10*$B$20*$B$14*B42*1000)/$B$15</f>
        <v>0.54117083374032893</v>
      </c>
      <c r="N12" s="20">
        <f>($B$10*$B$20*$B$14*B43*1000)/$B$15</f>
        <v>0.52634496610989667</v>
      </c>
      <c r="O12" s="20">
        <f>($B$10*$B$20*$B$14*B45*1000)/$B$15</f>
        <v>0.53999756364007889</v>
      </c>
      <c r="P12" s="20">
        <f>($B$10*$B$20*$B$14*B45*1000)/$B$15</f>
        <v>0.53999756364007889</v>
      </c>
      <c r="Q12" s="20">
        <f>($B$10*$B$20*$B$14*B46*1000)/$B$15</f>
        <v>0.37525977547315348</v>
      </c>
      <c r="R12" s="20">
        <f>($B$10*$B$20*$B$14*B47*1000)/$B$15</f>
        <v>0.28710452657709395</v>
      </c>
      <c r="S12" s="20">
        <f>($B$10*$B$20*$B$14*B48*1000)/$B$15</f>
        <v>0.22681444256197281</v>
      </c>
      <c r="T12" s="20">
        <f>($B$10*$B$20*$B$14*B49*1000)/$B$15</f>
        <v>0.21366848439326219</v>
      </c>
    </row>
    <row r="13" spans="1:20" x14ac:dyDescent="0.55000000000000004">
      <c r="A13" s="20"/>
      <c r="B13" s="20"/>
      <c r="F13" s="20" t="s">
        <v>51</v>
      </c>
      <c r="G13" s="20"/>
      <c r="H13" s="20"/>
      <c r="I13" s="20">
        <f>I12/$B$10</f>
        <v>2.0521560662555165E-2</v>
      </c>
      <c r="J13" s="20">
        <f t="shared" ref="J13:T13" si="4">J12/$B$10</f>
        <v>2.5105313622395653E-2</v>
      </c>
      <c r="K13" s="20">
        <f t="shared" si="4"/>
        <v>2.9483744314692372E-2</v>
      </c>
      <c r="L13" s="20">
        <f t="shared" si="4"/>
        <v>4.5882860488641736E-2</v>
      </c>
      <c r="M13" s="20">
        <f t="shared" si="4"/>
        <v>5.4117083374032891E-2</v>
      </c>
      <c r="N13" s="20">
        <f t="shared" si="4"/>
        <v>5.2634496610989664E-2</v>
      </c>
      <c r="O13" s="20">
        <f t="shared" si="4"/>
        <v>5.3999756364007889E-2</v>
      </c>
      <c r="P13" s="20">
        <f t="shared" si="4"/>
        <v>5.3999756364007889E-2</v>
      </c>
      <c r="Q13" s="20">
        <f t="shared" si="4"/>
        <v>3.7525977547315348E-2</v>
      </c>
      <c r="R13" s="20">
        <f t="shared" si="4"/>
        <v>2.8710452657709395E-2</v>
      </c>
      <c r="S13" s="20">
        <f t="shared" si="4"/>
        <v>2.2681444256197281E-2</v>
      </c>
      <c r="T13" s="20">
        <f t="shared" si="4"/>
        <v>2.1366848439326219E-2</v>
      </c>
    </row>
    <row r="14" spans="1:20" x14ac:dyDescent="0.55000000000000004">
      <c r="A14" s="55" t="s">
        <v>49</v>
      </c>
      <c r="B14" s="55">
        <f>0.95*B5</f>
        <v>0.75524999999999998</v>
      </c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</row>
    <row r="15" spans="1:20" x14ac:dyDescent="0.55000000000000004">
      <c r="A15" s="55" t="s">
        <v>29</v>
      </c>
      <c r="B15" s="55">
        <f>'fabbisogno ACS'!I7</f>
        <v>2538418.0499999998</v>
      </c>
      <c r="F15" s="20" t="s">
        <v>72</v>
      </c>
      <c r="G15" s="20"/>
      <c r="H15" s="20"/>
      <c r="I15" s="20">
        <f>I9*(11.6+1.18*$B$26+3.86*$B$27-2.32*C38)/($B$12-C38)</f>
        <v>1.4605922196336205</v>
      </c>
      <c r="J15" s="20">
        <f>J9*(11.6+1.18*$B$26+3.86*$B$27-2.32*C39)/($B$12-C39)</f>
        <v>1.2511570669192293</v>
      </c>
      <c r="K15" s="20">
        <f>K9*(11.6+1.18*$B$26+3.86*$B$27-2.32*C40)/($B$12-C40)</f>
        <v>1.3852096098034326</v>
      </c>
      <c r="L15" s="20">
        <f>L9*(11.6+1.18*$B$26+3.86*$B$27-2.32*C41)/($B$12-C41)</f>
        <v>1.1794254965436457</v>
      </c>
      <c r="M15" s="20">
        <f>M9*(11.6+1.18*$B$26+3.86*$B$27-2.32*C42)/($B$12-C42)</f>
        <v>1.1653436644653843</v>
      </c>
      <c r="N15" s="20">
        <f>N9*(11.6+1.18*$B$26+3.86*$B$27-2.32*C43)/($B$12-C43)</f>
        <v>0.98488972923993512</v>
      </c>
      <c r="O15" s="20">
        <f>O9*(11.6+1.18*$B$26+3.86*$B$27-2.32*C44)/($B$12-C44)</f>
        <v>0.91720924044101571</v>
      </c>
      <c r="P15" s="20">
        <f>P9*(11.6+1.18*$B$26+3.86*$B$27-2.32*C45)/($B$12-C45)</f>
        <v>0.96746431366114094</v>
      </c>
      <c r="Q15" s="20">
        <f>Q9*(11.6+1.18*$B$26+3.86*$B$27-2.32*C46)/($B$12-C46)</f>
        <v>1.0669595060711881</v>
      </c>
      <c r="R15" s="20">
        <f>R9*(11.6+1.18*$B$26+3.86*$B$27-2.32*C47)/($B$12-C47)</f>
        <v>1.1998940273042205</v>
      </c>
      <c r="S15" s="20">
        <f>S9*(11.6+1.18*$B$26+3.86*$B$27-2.32*C48)/($B$12-C48)</f>
        <v>1.2827726229237422</v>
      </c>
      <c r="T15" s="20">
        <f>T9*(11.6+1.18*$B$26+3.86*$B$27-2.32*C49)/($B$12-C49)</f>
        <v>1.5077063507774882</v>
      </c>
    </row>
    <row r="16" spans="1:20" x14ac:dyDescent="0.55000000000000004">
      <c r="A16" s="20"/>
      <c r="B16" s="20"/>
      <c r="F16" s="20" t="s">
        <v>42</v>
      </c>
      <c r="G16" s="20"/>
      <c r="H16" s="20"/>
      <c r="I16" s="20">
        <f>C38</f>
        <v>3.8</v>
      </c>
      <c r="J16" s="20">
        <f>C39</f>
        <v>6.2</v>
      </c>
      <c r="K16" s="20">
        <f>C40</f>
        <v>6.2</v>
      </c>
      <c r="L16" s="20">
        <f>C41</f>
        <v>11.5</v>
      </c>
      <c r="M16" s="20">
        <f>C42</f>
        <v>13.2</v>
      </c>
      <c r="N16" s="20">
        <f>C43</f>
        <v>17.899999999999999</v>
      </c>
      <c r="O16" s="20">
        <f>C44</f>
        <v>21.1</v>
      </c>
      <c r="P16" s="20">
        <f>C45</f>
        <v>19.5</v>
      </c>
      <c r="Q16" s="20">
        <f>C46</f>
        <v>15.2</v>
      </c>
      <c r="R16" s="20">
        <f>C47</f>
        <v>12.1</v>
      </c>
      <c r="S16" s="20">
        <f>C48</f>
        <v>8.1</v>
      </c>
      <c r="T16" s="20">
        <f>C49</f>
        <v>2.2999999999999998</v>
      </c>
    </row>
    <row r="17" spans="1:20" x14ac:dyDescent="0.55000000000000004">
      <c r="A17" s="20"/>
      <c r="B17" s="20"/>
      <c r="F17" s="20" t="s">
        <v>41</v>
      </c>
      <c r="G17" s="20"/>
      <c r="H17" s="20"/>
      <c r="I17" s="20">
        <f>$B$12-I16</f>
        <v>96.2</v>
      </c>
      <c r="J17" s="20">
        <f t="shared" ref="J17:T17" si="5">$B$12-J16</f>
        <v>93.8</v>
      </c>
      <c r="K17" s="20">
        <f t="shared" si="5"/>
        <v>93.8</v>
      </c>
      <c r="L17" s="20">
        <f t="shared" si="5"/>
        <v>88.5</v>
      </c>
      <c r="M17" s="20">
        <f t="shared" si="5"/>
        <v>86.8</v>
      </c>
      <c r="N17" s="20">
        <f t="shared" si="5"/>
        <v>82.1</v>
      </c>
      <c r="O17" s="20">
        <f t="shared" si="5"/>
        <v>78.900000000000006</v>
      </c>
      <c r="P17" s="20">
        <f t="shared" si="5"/>
        <v>80.5</v>
      </c>
      <c r="Q17" s="20">
        <f t="shared" si="5"/>
        <v>84.8</v>
      </c>
      <c r="R17" s="20">
        <f t="shared" si="5"/>
        <v>87.9</v>
      </c>
      <c r="S17" s="20">
        <f t="shared" si="5"/>
        <v>91.9</v>
      </c>
      <c r="T17" s="20">
        <f t="shared" si="5"/>
        <v>97.7</v>
      </c>
    </row>
    <row r="18" spans="1:20" ht="45.6" x14ac:dyDescent="0.55000000000000004">
      <c r="A18" s="20" t="s">
        <v>44</v>
      </c>
      <c r="B18" s="20">
        <v>0.95</v>
      </c>
      <c r="F18" s="57" t="s">
        <v>92</v>
      </c>
      <c r="G18" s="5"/>
      <c r="H18" s="5" t="s">
        <v>122</v>
      </c>
      <c r="I18" s="5" t="s">
        <v>121</v>
      </c>
    </row>
    <row r="19" spans="1:20" x14ac:dyDescent="0.55000000000000004">
      <c r="A19" s="20" t="s">
        <v>45</v>
      </c>
      <c r="B19" s="20">
        <f>0.75/B5</f>
        <v>0.94339622641509424</v>
      </c>
      <c r="G19" s="61" t="s">
        <v>25</v>
      </c>
      <c r="H19" s="20">
        <v>1.0289999999999999</v>
      </c>
      <c r="I19" s="20">
        <v>0.86299999999999999</v>
      </c>
    </row>
    <row r="20" spans="1:20" x14ac:dyDescent="0.55000000000000004">
      <c r="A20" s="20" t="s">
        <v>46</v>
      </c>
      <c r="B20" s="20">
        <f>B18*B19</f>
        <v>0.89622641509433953</v>
      </c>
      <c r="G20" s="61" t="s">
        <v>30</v>
      </c>
      <c r="H20" s="20">
        <v>-6.5000000000000002E-2</v>
      </c>
      <c r="I20" s="20">
        <v>-0.14699999999999999</v>
      </c>
      <c r="K20" s="57" t="s">
        <v>101</v>
      </c>
    </row>
    <row r="21" spans="1:20" x14ac:dyDescent="0.55000000000000004">
      <c r="A21" s="20"/>
      <c r="B21" s="20"/>
      <c r="G21" s="61" t="s">
        <v>31</v>
      </c>
      <c r="H21" s="20">
        <v>-0.245</v>
      </c>
      <c r="I21" s="20">
        <v>-0.26300000000000001</v>
      </c>
    </row>
    <row r="22" spans="1:20" x14ac:dyDescent="0.55000000000000004">
      <c r="A22" s="20"/>
      <c r="B22" s="20"/>
      <c r="G22" s="61" t="s">
        <v>32</v>
      </c>
      <c r="H22" s="20">
        <v>1.8E-3</v>
      </c>
      <c r="I22" s="20">
        <v>8.0000000000000002E-3</v>
      </c>
    </row>
    <row r="23" spans="1:20" x14ac:dyDescent="0.55000000000000004">
      <c r="A23" s="20"/>
      <c r="B23" s="20"/>
      <c r="G23" s="61" t="s">
        <v>33</v>
      </c>
      <c r="H23" s="20">
        <v>2.1499999999999998E-2</v>
      </c>
      <c r="I23" s="20">
        <v>2.9000000000000001E-2</v>
      </c>
    </row>
    <row r="24" spans="1:20" x14ac:dyDescent="0.55000000000000004">
      <c r="A24" s="20" t="s">
        <v>48</v>
      </c>
      <c r="B24" s="20">
        <v>24</v>
      </c>
      <c r="G24" s="61" t="s">
        <v>34</v>
      </c>
      <c r="H24" s="20">
        <v>0</v>
      </c>
      <c r="I24" s="20">
        <v>2.5000000000000001E-2</v>
      </c>
    </row>
    <row r="26" spans="1:20" x14ac:dyDescent="0.55000000000000004">
      <c r="A26" s="20" t="s">
        <v>71</v>
      </c>
      <c r="B26" s="20">
        <v>40</v>
      </c>
      <c r="K26" s="57" t="s">
        <v>102</v>
      </c>
    </row>
    <row r="27" spans="1:20" x14ac:dyDescent="0.55000000000000004">
      <c r="A27" s="20" t="s">
        <v>99</v>
      </c>
      <c r="B27" s="20">
        <v>15</v>
      </c>
    </row>
    <row r="28" spans="1:20" x14ac:dyDescent="0.55000000000000004">
      <c r="F28" s="58" t="s">
        <v>98</v>
      </c>
    </row>
    <row r="29" spans="1:20" ht="23.1" x14ac:dyDescent="0.85">
      <c r="H29" s="59">
        <f>SUM(I7:T7)/(12*B15)</f>
        <v>0.27175900356642352</v>
      </c>
    </row>
    <row r="33" spans="1:11" x14ac:dyDescent="0.55000000000000004">
      <c r="A33" s="57" t="s">
        <v>116</v>
      </c>
    </row>
    <row r="34" spans="1:11" x14ac:dyDescent="0.55000000000000004">
      <c r="A34" t="s">
        <v>114</v>
      </c>
    </row>
    <row r="35" spans="1:11" x14ac:dyDescent="0.55000000000000004">
      <c r="A35" t="s">
        <v>115</v>
      </c>
    </row>
    <row r="36" spans="1:11" x14ac:dyDescent="0.55000000000000004">
      <c r="A36" s="20"/>
      <c r="B36" s="32" t="s">
        <v>4</v>
      </c>
      <c r="C36" s="20"/>
      <c r="D36" s="33"/>
    </row>
    <row r="37" spans="1:11" ht="24.6" x14ac:dyDescent="0.55000000000000004">
      <c r="A37" s="2" t="s">
        <v>5</v>
      </c>
      <c r="B37" s="2" t="s">
        <v>6</v>
      </c>
      <c r="C37" s="2" t="s">
        <v>35</v>
      </c>
      <c r="D37" s="2" t="s">
        <v>38</v>
      </c>
    </row>
    <row r="38" spans="1:11" x14ac:dyDescent="0.55000000000000004">
      <c r="A38" s="64" t="s">
        <v>7</v>
      </c>
      <c r="B38" s="65">
        <v>76.959999999999994</v>
      </c>
      <c r="C38" s="65">
        <v>3.8</v>
      </c>
      <c r="D38" s="65">
        <v>31</v>
      </c>
    </row>
    <row r="39" spans="1:11" x14ac:dyDescent="0.55000000000000004">
      <c r="A39" s="64" t="s">
        <v>8</v>
      </c>
      <c r="B39" s="65">
        <v>94.15</v>
      </c>
      <c r="C39" s="65">
        <v>6.2</v>
      </c>
      <c r="D39" s="65">
        <v>28</v>
      </c>
    </row>
    <row r="40" spans="1:11" x14ac:dyDescent="0.55000000000000004">
      <c r="A40" s="64" t="s">
        <v>9</v>
      </c>
      <c r="B40" s="65">
        <v>110.57</v>
      </c>
      <c r="C40" s="65">
        <v>6.2</v>
      </c>
      <c r="D40" s="65">
        <v>31</v>
      </c>
    </row>
    <row r="41" spans="1:11" x14ac:dyDescent="0.55000000000000004">
      <c r="A41" s="64" t="s">
        <v>10</v>
      </c>
      <c r="B41" s="65">
        <v>172.07</v>
      </c>
      <c r="C41" s="65">
        <v>11.5</v>
      </c>
      <c r="D41" s="65">
        <v>30</v>
      </c>
    </row>
    <row r="42" spans="1:11" x14ac:dyDescent="0.55000000000000004">
      <c r="A42" s="64" t="s">
        <v>11</v>
      </c>
      <c r="B42" s="65">
        <v>202.95</v>
      </c>
      <c r="C42" s="65">
        <v>13.2</v>
      </c>
      <c r="D42" s="65">
        <v>31</v>
      </c>
    </row>
    <row r="43" spans="1:11" x14ac:dyDescent="0.55000000000000004">
      <c r="A43" s="64" t="s">
        <v>12</v>
      </c>
      <c r="B43" s="65">
        <v>197.39</v>
      </c>
      <c r="C43" s="65">
        <v>17.899999999999999</v>
      </c>
      <c r="D43" s="65">
        <v>30</v>
      </c>
    </row>
    <row r="44" spans="1:11" x14ac:dyDescent="0.55000000000000004">
      <c r="A44" s="64" t="s">
        <v>13</v>
      </c>
      <c r="B44" s="65">
        <v>224.17</v>
      </c>
      <c r="C44" s="65">
        <v>21.1</v>
      </c>
      <c r="D44" s="65">
        <v>31</v>
      </c>
    </row>
    <row r="45" spans="1:11" x14ac:dyDescent="0.55000000000000004">
      <c r="A45" s="64" t="s">
        <v>14</v>
      </c>
      <c r="B45" s="65">
        <v>202.51</v>
      </c>
      <c r="C45" s="65">
        <v>19.5</v>
      </c>
      <c r="D45" s="65">
        <v>31</v>
      </c>
    </row>
    <row r="46" spans="1:11" x14ac:dyDescent="0.55000000000000004">
      <c r="A46" s="64" t="s">
        <v>15</v>
      </c>
      <c r="B46" s="65">
        <v>140.72999999999999</v>
      </c>
      <c r="C46" s="65">
        <v>15.2</v>
      </c>
      <c r="D46" s="65">
        <v>30</v>
      </c>
      <c r="E46" s="30"/>
      <c r="G46" s="30"/>
      <c r="I46" s="30"/>
      <c r="K46" s="30"/>
    </row>
    <row r="47" spans="1:11" x14ac:dyDescent="0.55000000000000004">
      <c r="A47" s="64" t="s">
        <v>16</v>
      </c>
      <c r="B47" s="65">
        <v>107.67</v>
      </c>
      <c r="C47" s="65">
        <v>12.1</v>
      </c>
      <c r="D47" s="65">
        <v>31</v>
      </c>
      <c r="E47" s="30"/>
      <c r="G47" s="30"/>
      <c r="I47" s="30"/>
      <c r="K47" s="30"/>
    </row>
    <row r="48" spans="1:11" x14ac:dyDescent="0.55000000000000004">
      <c r="A48" s="64" t="s">
        <v>17</v>
      </c>
      <c r="B48" s="65">
        <v>85.06</v>
      </c>
      <c r="C48" s="65">
        <v>8.1</v>
      </c>
      <c r="D48" s="65">
        <v>30</v>
      </c>
      <c r="E48" s="30"/>
      <c r="G48" s="30"/>
      <c r="I48" s="30"/>
      <c r="K48" s="30"/>
    </row>
    <row r="49" spans="1:11" x14ac:dyDescent="0.55000000000000004">
      <c r="A49" s="64" t="s">
        <v>18</v>
      </c>
      <c r="B49" s="65">
        <v>80.13</v>
      </c>
      <c r="C49" s="65">
        <v>2.2999999999999998</v>
      </c>
      <c r="D49" s="65">
        <v>31</v>
      </c>
      <c r="E49" s="30"/>
      <c r="G49" s="30"/>
      <c r="I49" s="30"/>
      <c r="K49" s="30"/>
    </row>
    <row r="50" spans="1:11" x14ac:dyDescent="0.55000000000000004">
      <c r="E50" s="30"/>
      <c r="G50" s="30"/>
      <c r="I50" s="30"/>
      <c r="K50" s="30"/>
    </row>
    <row r="51" spans="1:11" x14ac:dyDescent="0.55000000000000004">
      <c r="A51" s="31"/>
      <c r="E51" s="30"/>
      <c r="G51" s="30"/>
      <c r="I51" s="30"/>
      <c r="K51" s="30"/>
    </row>
    <row r="52" spans="1:11" x14ac:dyDescent="0.55000000000000004">
      <c r="E52" s="30"/>
      <c r="G52" s="30"/>
      <c r="I52" s="30"/>
      <c r="K52" s="30"/>
    </row>
    <row r="53" spans="1:11" x14ac:dyDescent="0.55000000000000004">
      <c r="E53" s="30"/>
      <c r="G53" s="30"/>
      <c r="I53" s="30"/>
      <c r="K53" s="30"/>
    </row>
    <row r="54" spans="1:11" x14ac:dyDescent="0.55000000000000004">
      <c r="E54" s="30"/>
      <c r="G54" s="30"/>
      <c r="I54" s="30"/>
      <c r="K54" s="30"/>
    </row>
    <row r="55" spans="1:11" x14ac:dyDescent="0.55000000000000004">
      <c r="E55" s="30"/>
      <c r="G55" s="30"/>
      <c r="I55" s="30"/>
      <c r="K55" s="30"/>
    </row>
    <row r="56" spans="1:11" x14ac:dyDescent="0.55000000000000004">
      <c r="E56" s="30"/>
      <c r="G56" s="30"/>
      <c r="I56" s="30"/>
      <c r="K56" s="30"/>
    </row>
    <row r="57" spans="1:11" x14ac:dyDescent="0.55000000000000004">
      <c r="E57" s="30"/>
      <c r="G57" s="30"/>
      <c r="I57" s="30"/>
      <c r="K57" s="30"/>
    </row>
    <row r="66" spans="5:5" x14ac:dyDescent="0.55000000000000004">
      <c r="E66" s="21" t="s">
        <v>36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I36"/>
  <sheetViews>
    <sheetView tabSelected="1" topLeftCell="A31" zoomScaleNormal="100" workbookViewId="0">
      <selection activeCell="C15" sqref="C15"/>
    </sheetView>
  </sheetViews>
  <sheetFormatPr defaultRowHeight="14.4" x14ac:dyDescent="0.55000000000000004"/>
  <cols>
    <col min="9" max="9" width="10.68359375" bestFit="1" customWidth="1"/>
  </cols>
  <sheetData>
    <row r="1" spans="1:9" x14ac:dyDescent="0.55000000000000004">
      <c r="A1" s="34" t="s">
        <v>27</v>
      </c>
      <c r="B1" s="29"/>
      <c r="C1" s="29"/>
    </row>
    <row r="5" spans="1:9" x14ac:dyDescent="0.55000000000000004">
      <c r="A5" s="20" t="s">
        <v>38</v>
      </c>
      <c r="B5" s="20">
        <v>365</v>
      </c>
    </row>
    <row r="6" spans="1:9" x14ac:dyDescent="0.55000000000000004">
      <c r="A6" s="20" t="s">
        <v>20</v>
      </c>
      <c r="B6" s="20">
        <v>1</v>
      </c>
      <c r="C6" t="s">
        <v>50</v>
      </c>
    </row>
    <row r="7" spans="1:9" x14ac:dyDescent="0.55000000000000004">
      <c r="A7" s="20" t="s">
        <v>21</v>
      </c>
      <c r="B7" s="20">
        <v>1.1619999999999999</v>
      </c>
      <c r="C7" t="s">
        <v>37</v>
      </c>
      <c r="H7" s="56" t="s">
        <v>39</v>
      </c>
      <c r="I7" s="56">
        <f>B5*B6*B7*(B9-B8)*B10</f>
        <v>2538418.0499999998</v>
      </c>
    </row>
    <row r="8" spans="1:9" x14ac:dyDescent="0.55000000000000004">
      <c r="A8" s="20" t="s">
        <v>22</v>
      </c>
      <c r="B8" s="20">
        <f>B25</f>
        <v>15</v>
      </c>
    </row>
    <row r="9" spans="1:9" x14ac:dyDescent="0.55000000000000004">
      <c r="A9" s="20" t="s">
        <v>23</v>
      </c>
      <c r="B9" s="20">
        <v>40</v>
      </c>
    </row>
    <row r="10" spans="1:9" x14ac:dyDescent="0.55000000000000004">
      <c r="A10" s="55" t="s">
        <v>24</v>
      </c>
      <c r="B10" s="55">
        <f>B11*B15+B12</f>
        <v>239.39999999999998</v>
      </c>
      <c r="C10" t="s">
        <v>124</v>
      </c>
    </row>
    <row r="11" spans="1:9" x14ac:dyDescent="0.55000000000000004">
      <c r="A11" s="20" t="s">
        <v>25</v>
      </c>
      <c r="B11" s="20">
        <v>1.0669999999999999</v>
      </c>
    </row>
    <row r="12" spans="1:9" x14ac:dyDescent="0.55000000000000004">
      <c r="A12" s="20" t="s">
        <v>30</v>
      </c>
      <c r="B12" s="20">
        <v>36.67</v>
      </c>
    </row>
    <row r="13" spans="1:9" x14ac:dyDescent="0.55000000000000004">
      <c r="A13" s="55" t="s">
        <v>26</v>
      </c>
      <c r="B13" s="55">
        <f>B15</f>
        <v>190</v>
      </c>
    </row>
    <row r="14" spans="1:9" x14ac:dyDescent="0.55000000000000004">
      <c r="A14" s="20"/>
      <c r="B14" s="20"/>
    </row>
    <row r="15" spans="1:9" x14ac:dyDescent="0.55000000000000004">
      <c r="A15" s="20" t="s">
        <v>40</v>
      </c>
      <c r="B15" s="20">
        <v>190</v>
      </c>
    </row>
    <row r="20" spans="1:2" x14ac:dyDescent="0.55000000000000004">
      <c r="A20" s="57" t="s">
        <v>113</v>
      </c>
    </row>
    <row r="21" spans="1:2" x14ac:dyDescent="0.55000000000000004">
      <c r="A21" t="s">
        <v>119</v>
      </c>
    </row>
    <row r="22" spans="1:2" x14ac:dyDescent="0.55000000000000004">
      <c r="A22" t="s">
        <v>120</v>
      </c>
    </row>
    <row r="23" spans="1:2" x14ac:dyDescent="0.55000000000000004">
      <c r="A23" s="1"/>
      <c r="B23" s="2"/>
    </row>
    <row r="24" spans="1:2" x14ac:dyDescent="0.55000000000000004">
      <c r="A24" s="2" t="s">
        <v>5</v>
      </c>
      <c r="B24" s="2" t="s">
        <v>22</v>
      </c>
    </row>
    <row r="25" spans="1:2" x14ac:dyDescent="0.55000000000000004">
      <c r="A25" s="3" t="s">
        <v>7</v>
      </c>
      <c r="B25" s="4">
        <v>15</v>
      </c>
    </row>
    <row r="26" spans="1:2" x14ac:dyDescent="0.55000000000000004">
      <c r="A26" s="3" t="s">
        <v>8</v>
      </c>
      <c r="B26" s="4">
        <v>15</v>
      </c>
    </row>
    <row r="27" spans="1:2" x14ac:dyDescent="0.55000000000000004">
      <c r="A27" s="3" t="s">
        <v>9</v>
      </c>
      <c r="B27" s="4">
        <v>15</v>
      </c>
    </row>
    <row r="28" spans="1:2" x14ac:dyDescent="0.55000000000000004">
      <c r="A28" s="3" t="s">
        <v>10</v>
      </c>
      <c r="B28" s="4">
        <v>15</v>
      </c>
    </row>
    <row r="29" spans="1:2" x14ac:dyDescent="0.55000000000000004">
      <c r="A29" s="3" t="s">
        <v>11</v>
      </c>
      <c r="B29" s="4">
        <v>15</v>
      </c>
    </row>
    <row r="30" spans="1:2" x14ac:dyDescent="0.55000000000000004">
      <c r="A30" s="3" t="s">
        <v>12</v>
      </c>
      <c r="B30" s="4">
        <v>15</v>
      </c>
    </row>
    <row r="31" spans="1:2" x14ac:dyDescent="0.55000000000000004">
      <c r="A31" s="3" t="s">
        <v>13</v>
      </c>
      <c r="B31" s="4">
        <v>15</v>
      </c>
    </row>
    <row r="32" spans="1:2" x14ac:dyDescent="0.55000000000000004">
      <c r="A32" s="3" t="s">
        <v>14</v>
      </c>
      <c r="B32" s="4">
        <v>15</v>
      </c>
    </row>
    <row r="33" spans="1:2" x14ac:dyDescent="0.55000000000000004">
      <c r="A33" s="3" t="s">
        <v>15</v>
      </c>
      <c r="B33" s="4">
        <v>15</v>
      </c>
    </row>
    <row r="34" spans="1:2" x14ac:dyDescent="0.55000000000000004">
      <c r="A34" s="3" t="s">
        <v>16</v>
      </c>
      <c r="B34" s="4">
        <v>15</v>
      </c>
    </row>
    <row r="35" spans="1:2" x14ac:dyDescent="0.55000000000000004">
      <c r="A35" s="3" t="s">
        <v>17</v>
      </c>
      <c r="B35" s="4">
        <v>15</v>
      </c>
    </row>
    <row r="36" spans="1:2" x14ac:dyDescent="0.55000000000000004">
      <c r="A36" s="3" t="s">
        <v>18</v>
      </c>
      <c r="B36" s="4">
        <v>15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D3:I42"/>
  <sheetViews>
    <sheetView zoomScaleNormal="100" workbookViewId="0">
      <selection activeCell="D4" sqref="D4"/>
    </sheetView>
  </sheetViews>
  <sheetFormatPr defaultRowHeight="14.4" x14ac:dyDescent="0.55000000000000004"/>
  <cols>
    <col min="5" max="5" width="14" bestFit="1" customWidth="1"/>
    <col min="6" max="6" width="10.26171875" bestFit="1" customWidth="1"/>
    <col min="8" max="8" width="47.68359375" customWidth="1"/>
    <col min="9" max="9" width="8.83984375" style="46"/>
  </cols>
  <sheetData>
    <row r="3" spans="4:9" ht="18.3" x14ac:dyDescent="0.7">
      <c r="D3" s="6" t="s">
        <v>112</v>
      </c>
    </row>
    <row r="4" spans="4:9" ht="14.7" thickBot="1" x14ac:dyDescent="0.6"/>
    <row r="5" spans="4:9" ht="25.8" x14ac:dyDescent="0.95">
      <c r="D5" s="7" t="s">
        <v>73</v>
      </c>
      <c r="E5" s="8"/>
      <c r="F5" s="8"/>
      <c r="G5" s="8"/>
      <c r="H5" s="8"/>
      <c r="I5" s="47"/>
    </row>
    <row r="6" spans="4:9" ht="14.7" thickBot="1" x14ac:dyDescent="0.6">
      <c r="D6" s="9"/>
      <c r="E6" s="10"/>
      <c r="F6" s="10"/>
      <c r="G6" s="10"/>
      <c r="H6" s="10"/>
      <c r="I6" s="48"/>
    </row>
    <row r="7" spans="4:9" ht="14.7" thickBot="1" x14ac:dyDescent="0.6">
      <c r="D7" s="11"/>
      <c r="E7" s="12"/>
      <c r="F7" s="12"/>
      <c r="G7" s="13"/>
      <c r="H7" s="35" t="s">
        <v>54</v>
      </c>
      <c r="I7" s="49">
        <v>0.03</v>
      </c>
    </row>
    <row r="8" spans="4:9" ht="14.7" thickBot="1" x14ac:dyDescent="0.6">
      <c r="D8" s="22" t="s">
        <v>74</v>
      </c>
      <c r="E8" s="23" t="s">
        <v>75</v>
      </c>
      <c r="F8" s="23" t="s">
        <v>55</v>
      </c>
      <c r="G8" s="12"/>
      <c r="H8" s="36"/>
      <c r="I8" s="50"/>
    </row>
    <row r="9" spans="4:9" ht="14.7" thickBot="1" x14ac:dyDescent="0.6">
      <c r="D9" s="24">
        <v>0</v>
      </c>
      <c r="E9" s="25">
        <f>-H13*H30</f>
        <v>-10000</v>
      </c>
      <c r="F9" s="26">
        <f>E9</f>
        <v>-10000</v>
      </c>
      <c r="G9" s="12"/>
      <c r="H9" s="37" t="s">
        <v>61</v>
      </c>
      <c r="I9" s="41"/>
    </row>
    <row r="10" spans="4:9" ht="14.7" thickBot="1" x14ac:dyDescent="0.6">
      <c r="D10" s="24">
        <f>D9+1</f>
        <v>1</v>
      </c>
      <c r="E10" s="27">
        <f>$H$26-$H$30*$H$13*$H$33+0.5/10*$H$30*$H$13-0.02*$H$13*$H$30</f>
        <v>1141.0029576001366</v>
      </c>
      <c r="F10" s="28">
        <f>NPV($I$7,$E10:$E$10)+$E$9</f>
        <v>-8892.2301382522946</v>
      </c>
      <c r="G10" s="14"/>
      <c r="H10" s="39">
        <f>producibilità!H29*producibilità!B15</f>
        <v>689837.95990302379</v>
      </c>
      <c r="I10" s="51" t="s">
        <v>62</v>
      </c>
    </row>
    <row r="11" spans="4:9" ht="14.7" thickBot="1" x14ac:dyDescent="0.6">
      <c r="D11" s="24">
        <f t="shared" ref="D11:D29" si="0">D10+1</f>
        <v>2</v>
      </c>
      <c r="E11" s="27">
        <f t="shared" ref="E11:E19" si="1">$H$26-$H$30*$H$13*$H$33+0.5/10*$H$30*$H$13-0.02*$H$13*$H$30</f>
        <v>1141.0029576001366</v>
      </c>
      <c r="F11" s="28">
        <f>NPV($I$7,$E$10:$E11)+$E$9</f>
        <v>-7816.725418108892</v>
      </c>
      <c r="G11" s="12"/>
      <c r="H11" s="38"/>
      <c r="I11" s="41"/>
    </row>
    <row r="12" spans="4:9" ht="15.3" thickBot="1" x14ac:dyDescent="0.6">
      <c r="D12" s="24">
        <f t="shared" si="0"/>
        <v>3</v>
      </c>
      <c r="E12" s="27">
        <f t="shared" si="1"/>
        <v>1141.0029576001366</v>
      </c>
      <c r="F12" s="28">
        <f>NPV($I$7,$E$10:$E12)+$E$9</f>
        <v>-6772.5460781638394</v>
      </c>
      <c r="G12" s="12"/>
      <c r="H12" s="37" t="s">
        <v>76</v>
      </c>
      <c r="I12" s="41"/>
    </row>
    <row r="13" spans="4:9" ht="14.7" thickBot="1" x14ac:dyDescent="0.6">
      <c r="D13" s="24">
        <f t="shared" si="0"/>
        <v>4</v>
      </c>
      <c r="E13" s="27">
        <f t="shared" si="1"/>
        <v>1141.0029576001366</v>
      </c>
      <c r="F13" s="28">
        <f>NPV($I$7,$E$10:$E13)+$E$9</f>
        <v>-5758.7797287026242</v>
      </c>
      <c r="G13" s="12"/>
      <c r="H13" s="39">
        <v>1000</v>
      </c>
      <c r="I13" s="51" t="s">
        <v>60</v>
      </c>
    </row>
    <row r="14" spans="4:9" ht="14.7" thickBot="1" x14ac:dyDescent="0.6">
      <c r="D14" s="24">
        <f t="shared" si="0"/>
        <v>5</v>
      </c>
      <c r="E14" s="27">
        <f t="shared" si="1"/>
        <v>1141.0029576001366</v>
      </c>
      <c r="F14" s="28">
        <f>NPV($I$7,$E$10:$E14)+$E$9</f>
        <v>-4774.5405544684354</v>
      </c>
      <c r="G14" s="12"/>
      <c r="H14" s="38"/>
      <c r="I14" s="41"/>
    </row>
    <row r="15" spans="4:9" ht="14.7" thickBot="1" x14ac:dyDescent="0.6">
      <c r="D15" s="24">
        <f t="shared" si="0"/>
        <v>6</v>
      </c>
      <c r="E15" s="27">
        <f t="shared" si="1"/>
        <v>1141.0029576001366</v>
      </c>
      <c r="F15" s="28">
        <f>NPV($I$7,$E$10:$E15)+$E$9</f>
        <v>-3818.9685406488334</v>
      </c>
      <c r="G15" s="12"/>
      <c r="H15" s="37" t="s">
        <v>77</v>
      </c>
      <c r="I15" s="41"/>
    </row>
    <row r="16" spans="4:9" ht="14.7" thickBot="1" x14ac:dyDescent="0.6">
      <c r="D16" s="24">
        <f>D15+1</f>
        <v>7</v>
      </c>
      <c r="E16" s="27">
        <f t="shared" si="1"/>
        <v>1141.0029576001366</v>
      </c>
      <c r="F16" s="28">
        <f>NPV($I$7,$E$10:$E16)+$E$9</f>
        <v>-2891.2287214065027</v>
      </c>
      <c r="G16" s="12"/>
      <c r="H16" s="40">
        <v>0.8</v>
      </c>
      <c r="I16" s="41"/>
    </row>
    <row r="17" spans="4:9" ht="14.7" thickBot="1" x14ac:dyDescent="0.6">
      <c r="D17" s="24">
        <f t="shared" si="0"/>
        <v>8</v>
      </c>
      <c r="E17" s="27">
        <f t="shared" si="1"/>
        <v>1141.0029576001366</v>
      </c>
      <c r="F17" s="28">
        <f>NPV($I$7,$E$10:$E17)+$E$9</f>
        <v>-1990.5104502974427</v>
      </c>
      <c r="G17" s="12"/>
      <c r="H17" s="41"/>
      <c r="I17" s="41"/>
    </row>
    <row r="18" spans="4:9" ht="14.7" thickBot="1" x14ac:dyDescent="0.6">
      <c r="D18" s="24">
        <f t="shared" si="0"/>
        <v>9</v>
      </c>
      <c r="E18" s="27">
        <f t="shared" si="1"/>
        <v>1141.0029576001366</v>
      </c>
      <c r="F18" s="28">
        <f>NPV($I$7,$E$10:$E18)+$E$9</f>
        <v>-1116.0266919391324</v>
      </c>
      <c r="G18" s="12"/>
      <c r="H18" s="37" t="s">
        <v>63</v>
      </c>
      <c r="I18" s="41"/>
    </row>
    <row r="19" spans="4:9" ht="14.7" thickBot="1" x14ac:dyDescent="0.6">
      <c r="D19" s="24">
        <f t="shared" si="0"/>
        <v>10</v>
      </c>
      <c r="E19" s="27">
        <f t="shared" si="1"/>
        <v>1141.0029576001366</v>
      </c>
      <c r="F19" s="28">
        <f>NPV($I$7,$E$10:$E19)+$E$9</f>
        <v>-267.0133343097059</v>
      </c>
      <c r="G19" s="12"/>
      <c r="H19" s="40">
        <v>9940</v>
      </c>
      <c r="I19" s="41" t="s">
        <v>68</v>
      </c>
    </row>
    <row r="20" spans="4:9" ht="14.7" thickBot="1" x14ac:dyDescent="0.6">
      <c r="D20" s="24">
        <f t="shared" si="0"/>
        <v>11</v>
      </c>
      <c r="E20" s="27">
        <f>$H$26-$H$30*$H$13*$H$33-0.02*$H$13*$H$30</f>
        <v>641.0029576001366</v>
      </c>
      <c r="F20" s="28">
        <f>NPV($I$7,$E$10:$E20)+$E$9</f>
        <v>196.06084062336777</v>
      </c>
      <c r="G20" s="12"/>
      <c r="H20" s="41"/>
      <c r="I20" s="41"/>
    </row>
    <row r="21" spans="4:9" ht="14.7" thickBot="1" x14ac:dyDescent="0.6">
      <c r="D21" s="24">
        <f t="shared" si="0"/>
        <v>12</v>
      </c>
      <c r="E21" s="27">
        <f t="shared" ref="E21:E29" si="2">$H$26-$H$30*$H$13*$H$33-0.02*$H$13*$H$30</f>
        <v>641.0029576001366</v>
      </c>
      <c r="F21" s="28">
        <f>NPV($I$7,$E$10:$E21)+$E$9</f>
        <v>645.64741822829274</v>
      </c>
      <c r="G21" s="12"/>
      <c r="H21" s="37" t="s">
        <v>64</v>
      </c>
      <c r="I21" s="41"/>
    </row>
    <row r="22" spans="4:9" ht="14.7" thickBot="1" x14ac:dyDescent="0.6">
      <c r="D22" s="24">
        <f t="shared" si="0"/>
        <v>13</v>
      </c>
      <c r="E22" s="27">
        <f t="shared" si="2"/>
        <v>641.0029576001366</v>
      </c>
      <c r="F22" s="28">
        <f>NPV($I$7,$E$10:$E22)+$E$9</f>
        <v>1082.1392411456964</v>
      </c>
      <c r="G22" s="12"/>
      <c r="H22" s="40">
        <v>1</v>
      </c>
      <c r="I22" s="41" t="s">
        <v>65</v>
      </c>
    </row>
    <row r="23" spans="4:9" ht="14.7" thickBot="1" x14ac:dyDescent="0.6">
      <c r="D23" s="24">
        <f t="shared" si="0"/>
        <v>14</v>
      </c>
      <c r="E23" s="27">
        <f t="shared" si="2"/>
        <v>641.0029576001366</v>
      </c>
      <c r="F23" s="28">
        <f>NPV($I$7,$E$10:$E23)+$E$9</f>
        <v>1505.9177099975441</v>
      </c>
      <c r="G23" s="12"/>
      <c r="H23" s="37" t="s">
        <v>70</v>
      </c>
      <c r="I23" s="41"/>
    </row>
    <row r="24" spans="4:9" ht="14.7" thickBot="1" x14ac:dyDescent="0.6">
      <c r="D24" s="24">
        <f t="shared" si="0"/>
        <v>15</v>
      </c>
      <c r="E24" s="27">
        <f t="shared" si="2"/>
        <v>641.0029576001366</v>
      </c>
      <c r="F24" s="28">
        <f>NPV($I$7,$E$10:$E24)+$E$9</f>
        <v>1917.3531166498233</v>
      </c>
      <c r="G24" s="12"/>
      <c r="H24" s="41">
        <v>12</v>
      </c>
      <c r="I24" s="41"/>
    </row>
    <row r="25" spans="4:9" ht="14.7" thickBot="1" x14ac:dyDescent="0.6">
      <c r="D25" s="24">
        <f t="shared" si="0"/>
        <v>16</v>
      </c>
      <c r="E25" s="27">
        <f t="shared" si="2"/>
        <v>641.0029576001366</v>
      </c>
      <c r="F25" s="28">
        <f>NPV($I$7,$E$10:$E25)+$E$9</f>
        <v>2316.8049677685412</v>
      </c>
      <c r="G25" s="12"/>
      <c r="H25" s="37" t="s">
        <v>66</v>
      </c>
      <c r="I25" s="41"/>
    </row>
    <row r="26" spans="4:9" ht="14.7" thickBot="1" x14ac:dyDescent="0.6">
      <c r="D26" s="24">
        <f t="shared" si="0"/>
        <v>17</v>
      </c>
      <c r="E26" s="27">
        <f t="shared" si="2"/>
        <v>641.0029576001366</v>
      </c>
      <c r="F26" s="28">
        <f>NPV($I$7,$E$10:$E26)+$E$9</f>
        <v>2704.6222989517628</v>
      </c>
      <c r="G26" s="12"/>
      <c r="H26" s="42">
        <f>H10*H22*H24/(H16*H19)</f>
        <v>1041.0029576001366</v>
      </c>
      <c r="I26" s="41" t="s">
        <v>67</v>
      </c>
    </row>
    <row r="27" spans="4:9" ht="14.7" thickBot="1" x14ac:dyDescent="0.6">
      <c r="D27" s="24">
        <f t="shared" si="0"/>
        <v>18</v>
      </c>
      <c r="E27" s="27">
        <f t="shared" si="2"/>
        <v>641.0029576001366</v>
      </c>
      <c r="F27" s="28">
        <f>NPV($I$7,$E$10:$E27)+$E$9</f>
        <v>3081.1439797121729</v>
      </c>
      <c r="G27" s="12"/>
      <c r="H27" s="41"/>
      <c r="I27" s="41"/>
    </row>
    <row r="28" spans="4:9" ht="14.7" thickBot="1" x14ac:dyDescent="0.6">
      <c r="D28" s="24">
        <f t="shared" si="0"/>
        <v>19</v>
      </c>
      <c r="E28" s="27">
        <f t="shared" si="2"/>
        <v>641.0029576001366</v>
      </c>
      <c r="F28" s="28">
        <f>NPV($I$7,$E$10:$E28)+$E$9</f>
        <v>3446.6990095766469</v>
      </c>
      <c r="G28" s="12"/>
      <c r="H28" s="41"/>
      <c r="I28" s="41"/>
    </row>
    <row r="29" spans="4:9" ht="14.7" thickBot="1" x14ac:dyDescent="0.6">
      <c r="D29" s="24">
        <f t="shared" si="0"/>
        <v>20</v>
      </c>
      <c r="E29" s="27">
        <f t="shared" si="2"/>
        <v>641.0029576001366</v>
      </c>
      <c r="F29" s="28">
        <f>NPV($I$7,$E$10:$E29)+$E$9</f>
        <v>3801.6068055615724</v>
      </c>
      <c r="G29" s="12"/>
      <c r="H29" s="37" t="s">
        <v>69</v>
      </c>
      <c r="I29" s="41"/>
    </row>
    <row r="30" spans="4:9" ht="15" thickBot="1" x14ac:dyDescent="0.6">
      <c r="D30" s="15"/>
      <c r="E30" s="16"/>
      <c r="F30" s="17"/>
      <c r="G30" s="12"/>
      <c r="H30" s="39">
        <f>producibilità!B10</f>
        <v>10</v>
      </c>
      <c r="I30" s="41" t="s">
        <v>78</v>
      </c>
    </row>
    <row r="31" spans="4:9" ht="14.7" thickBot="1" x14ac:dyDescent="0.6">
      <c r="D31" s="15"/>
      <c r="E31" s="16"/>
      <c r="F31" s="17"/>
      <c r="G31" s="12"/>
      <c r="H31" s="41"/>
      <c r="I31" s="41"/>
    </row>
    <row r="32" spans="4:9" ht="14.7" thickBot="1" x14ac:dyDescent="0.6">
      <c r="D32" s="15"/>
      <c r="E32" s="16"/>
      <c r="F32" s="17"/>
      <c r="G32" s="12"/>
      <c r="H32" s="37" t="s">
        <v>56</v>
      </c>
      <c r="I32" s="41"/>
    </row>
    <row r="33" spans="4:9" ht="14.7" thickBot="1" x14ac:dyDescent="0.6">
      <c r="D33" s="15"/>
      <c r="E33" s="16"/>
      <c r="F33" s="17"/>
      <c r="G33" s="12"/>
      <c r="H33" s="43">
        <v>0.02</v>
      </c>
      <c r="I33" s="41"/>
    </row>
    <row r="34" spans="4:9" ht="14.7" thickBot="1" x14ac:dyDescent="0.6">
      <c r="D34" s="15"/>
      <c r="E34" s="16"/>
      <c r="F34" s="17"/>
      <c r="G34" s="12"/>
      <c r="H34" s="41"/>
      <c r="I34" s="41"/>
    </row>
    <row r="35" spans="4:9" ht="14.7" thickBot="1" x14ac:dyDescent="0.6">
      <c r="D35" s="15"/>
      <c r="E35" s="16"/>
      <c r="F35" s="17"/>
      <c r="G35" s="12"/>
      <c r="H35" s="37" t="s">
        <v>57</v>
      </c>
      <c r="I35" s="41"/>
    </row>
    <row r="36" spans="4:9" ht="14.7" thickBot="1" x14ac:dyDescent="0.6">
      <c r="D36" s="15"/>
      <c r="E36" s="16"/>
      <c r="F36" s="17"/>
      <c r="G36" s="12"/>
      <c r="H36" s="44">
        <f>IRR(E9:E28, 3%)</f>
        <v>7.210044642347202E-2</v>
      </c>
      <c r="I36" s="41"/>
    </row>
    <row r="37" spans="4:9" ht="14.7" thickBot="1" x14ac:dyDescent="0.6">
      <c r="D37" s="15"/>
      <c r="E37" s="16"/>
      <c r="F37" s="17"/>
      <c r="G37" s="12"/>
      <c r="H37" s="41"/>
      <c r="I37" s="41"/>
    </row>
    <row r="38" spans="4:9" ht="14.7" thickBot="1" x14ac:dyDescent="0.6">
      <c r="D38" s="15"/>
      <c r="E38" s="16"/>
      <c r="F38" s="17"/>
      <c r="G38" s="12"/>
      <c r="H38" s="37" t="s">
        <v>58</v>
      </c>
      <c r="I38" s="41"/>
    </row>
    <row r="39" spans="4:9" ht="14.7" thickBot="1" x14ac:dyDescent="0.6">
      <c r="D39" s="15"/>
      <c r="E39" s="16"/>
      <c r="F39" s="17"/>
      <c r="G39" s="12"/>
      <c r="H39" s="45">
        <f>+F28</f>
        <v>3446.6990095766469</v>
      </c>
      <c r="I39" s="41"/>
    </row>
    <row r="40" spans="4:9" ht="14.7" thickBot="1" x14ac:dyDescent="0.6">
      <c r="D40" s="11"/>
      <c r="E40" s="12"/>
      <c r="F40" s="12"/>
      <c r="G40" s="12"/>
      <c r="H40" s="38"/>
      <c r="I40" s="41"/>
    </row>
    <row r="41" spans="4:9" ht="14.7" thickBot="1" x14ac:dyDescent="0.6">
      <c r="D41" s="11"/>
      <c r="E41" s="12"/>
      <c r="F41" s="12"/>
      <c r="G41" s="12"/>
      <c r="H41" s="37" t="s">
        <v>59</v>
      </c>
      <c r="I41" s="41"/>
    </row>
    <row r="42" spans="4:9" ht="14.7" thickBot="1" x14ac:dyDescent="0.6">
      <c r="D42" s="18"/>
      <c r="E42" s="19"/>
      <c r="F42" s="19"/>
      <c r="G42" s="19"/>
      <c r="H42" s="44">
        <f>-H39/E9</f>
        <v>0.3446699009576647</v>
      </c>
      <c r="I42" s="41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Introduzione</vt:lpstr>
      <vt:lpstr>producibilità</vt:lpstr>
      <vt:lpstr>fabbisogno ACS</vt:lpstr>
      <vt:lpstr>analisi economica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 dangola</dc:creator>
  <cp:lastModifiedBy>antonio dangola</cp:lastModifiedBy>
  <dcterms:created xsi:type="dcterms:W3CDTF">2021-04-18T18:42:46Z</dcterms:created>
  <dcterms:modified xsi:type="dcterms:W3CDTF">2021-05-18T21:37:57Z</dcterms:modified>
</cp:coreProperties>
</file>